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BF\BF-Admin\Communications\B&amp;F\B&amp;F websites\FP&amp;A\"/>
    </mc:Choice>
  </mc:AlternateContent>
  <xr:revisionPtr revIDLastSave="0" documentId="8_{A3D2CAA1-9764-4017-8C2B-B6D2117CE512}" xr6:coauthVersionLast="47" xr6:coauthVersionMax="47" xr10:uidLastSave="{00000000-0000-0000-0000-000000000000}"/>
  <bookViews>
    <workbookView xWindow="-28920" yWindow="-120" windowWidth="29040" windowHeight="15720" tabRatio="853" activeTab="6" xr2:uid="{214401C3-DC75-4D25-935E-5D01DC7BBBEF}"/>
  </bookViews>
  <sheets>
    <sheet name="Rate Summary" sheetId="2" r:id="rId1"/>
    <sheet name="Components UNIV HS &amp; FGP" sheetId="3" r:id="rId2"/>
    <sheet name="Distribution Univ HS &amp; FGP" sheetId="6" r:id="rId3"/>
    <sheet name="Components OSP" sheetId="4" r:id="rId4"/>
    <sheet name="Distribution OSP" sheetId="5" r:id="rId5"/>
    <sheet name="fy23_summary_bnft_projection" sheetId="8" r:id="rId6"/>
    <sheet name="Rate by Spend Cat" sheetId="7" r:id="rId7"/>
  </sheets>
  <definedNames>
    <definedName name="_xlnm._FilterDatabase" localSheetId="4" hidden="1">'Distribution OSP'!$A$5:$K$23</definedName>
    <definedName name="_xlnm._FilterDatabase" localSheetId="2" hidden="1">'Distribution Univ HS &amp; FGP'!$A$4:$U$24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7" l="1"/>
  <c r="F14" i="7"/>
  <c r="F13" i="7"/>
  <c r="F12" i="7"/>
  <c r="F11" i="7"/>
  <c r="F10" i="7"/>
  <c r="F9" i="7"/>
  <c r="F8" i="7"/>
  <c r="F7" i="7"/>
  <c r="F6" i="7"/>
  <c r="F5" i="7"/>
  <c r="F4" i="7"/>
  <c r="F3" i="7"/>
  <c r="B8" i="4"/>
  <c r="B13" i="4"/>
  <c r="R12" i="3"/>
  <c r="C11" i="4"/>
  <c r="C8" i="4"/>
  <c r="F104" i="8"/>
  <c r="D82" i="8" l="1"/>
  <c r="Q43" i="8"/>
  <c r="D64" i="8"/>
  <c r="D98" i="8" s="1"/>
  <c r="D56" i="8"/>
  <c r="D90" i="8" s="1"/>
  <c r="G64" i="8"/>
  <c r="F98" i="8" s="1"/>
  <c r="F55" i="8"/>
  <c r="E55" i="8"/>
  <c r="E89" i="8" s="1"/>
  <c r="D62" i="8"/>
  <c r="D96" i="8" s="1"/>
  <c r="I43" i="8"/>
  <c r="J38" i="8"/>
  <c r="I38" i="8"/>
  <c r="P36" i="8"/>
  <c r="P38" i="8" s="1"/>
  <c r="I32" i="8"/>
  <c r="F69" i="8" s="1"/>
  <c r="E32" i="8"/>
  <c r="H22" i="3" s="1"/>
  <c r="I30" i="8"/>
  <c r="F67" i="8" s="1"/>
  <c r="F30" i="8"/>
  <c r="I29" i="8"/>
  <c r="F66" i="8" s="1"/>
  <c r="I28" i="8"/>
  <c r="F65" i="8" s="1"/>
  <c r="G28" i="8"/>
  <c r="Q27" i="8"/>
  <c r="M26" i="8"/>
  <c r="I23" i="8"/>
  <c r="F60" i="8" s="1"/>
  <c r="F23" i="8"/>
  <c r="H22" i="8"/>
  <c r="I22" i="8"/>
  <c r="F59" i="8" s="1"/>
  <c r="D21" i="8"/>
  <c r="E18" i="8"/>
  <c r="H5" i="3" s="1"/>
  <c r="O32" i="8"/>
  <c r="J33" i="8"/>
  <c r="I33" i="8"/>
  <c r="H33" i="8"/>
  <c r="G33" i="8"/>
  <c r="I23" i="3" s="1"/>
  <c r="F33" i="8"/>
  <c r="E104" i="8" s="1"/>
  <c r="C23" i="3" s="1"/>
  <c r="E30" i="8"/>
  <c r="H19" i="3" s="1"/>
  <c r="D32" i="8"/>
  <c r="O43" i="8"/>
  <c r="M24" i="8"/>
  <c r="L26" i="8"/>
  <c r="J14" i="3" s="1"/>
  <c r="K26" i="8"/>
  <c r="F43" i="8"/>
  <c r="E25" i="8"/>
  <c r="H18" i="3" s="1"/>
  <c r="D23" i="8"/>
  <c r="W5" i="8"/>
  <c r="I4" i="8"/>
  <c r="I6" i="8" s="1"/>
  <c r="Q12" i="3"/>
  <c r="O12" i="3"/>
  <c r="M36" i="8" l="1"/>
  <c r="M38" i="8" s="1"/>
  <c r="E60" i="8"/>
  <c r="E94" i="8" s="1"/>
  <c r="C17" i="3" s="1"/>
  <c r="N25" i="8"/>
  <c r="K20" i="3"/>
  <c r="K6" i="3"/>
  <c r="K19" i="3"/>
  <c r="K5" i="3"/>
  <c r="K16" i="3"/>
  <c r="K15" i="3"/>
  <c r="K21" i="3"/>
  <c r="K7" i="3"/>
  <c r="K17" i="3"/>
  <c r="K23" i="3"/>
  <c r="K22" i="3"/>
  <c r="G22" i="8"/>
  <c r="I16" i="3" s="1"/>
  <c r="I21" i="3"/>
  <c r="I5" i="3"/>
  <c r="E31" i="8"/>
  <c r="H20" i="3" s="1"/>
  <c r="H4" i="8"/>
  <c r="H6" i="8" s="1"/>
  <c r="H20" i="8"/>
  <c r="K24" i="8"/>
  <c r="E26" i="8"/>
  <c r="H14" i="3" s="1"/>
  <c r="I31" i="8"/>
  <c r="F68" i="8" s="1"/>
  <c r="E33" i="8"/>
  <c r="H23" i="3" s="1"/>
  <c r="G65" i="8"/>
  <c r="G63" i="8"/>
  <c r="D14" i="4" s="1"/>
  <c r="E67" i="8"/>
  <c r="E101" i="8" s="1"/>
  <c r="C19" i="3" s="1"/>
  <c r="D26" i="8"/>
  <c r="M43" i="8"/>
  <c r="E4" i="8"/>
  <c r="E6" i="8" s="1"/>
  <c r="I24" i="8"/>
  <c r="F61" i="8" s="1"/>
  <c r="Q26" i="8"/>
  <c r="Q36" i="8" s="1"/>
  <c r="I20" i="8"/>
  <c r="F57" i="8" s="1"/>
  <c r="H26" i="8"/>
  <c r="E28" i="8"/>
  <c r="C5" i="3"/>
  <c r="G68" i="8"/>
  <c r="J21" i="8"/>
  <c r="R26" i="8"/>
  <c r="L14" i="3" s="1"/>
  <c r="L15" i="3"/>
  <c r="L23" i="3"/>
  <c r="L19" i="3"/>
  <c r="L22" i="3"/>
  <c r="L7" i="3"/>
  <c r="L20" i="3"/>
  <c r="L6" i="3"/>
  <c r="L5" i="3"/>
  <c r="L16" i="3"/>
  <c r="L17" i="3"/>
  <c r="E23" i="8"/>
  <c r="H17" i="3" s="1"/>
  <c r="Q24" i="8"/>
  <c r="F28" i="8"/>
  <c r="B21" i="4"/>
  <c r="D21" i="4"/>
  <c r="L23" i="8"/>
  <c r="J17" i="3" s="1"/>
  <c r="J19" i="3"/>
  <c r="J13" i="3"/>
  <c r="J6" i="3"/>
  <c r="J16" i="3"/>
  <c r="J15" i="3"/>
  <c r="J23" i="3"/>
  <c r="J22" i="3"/>
  <c r="J21" i="3"/>
  <c r="J20" i="3"/>
  <c r="V36" i="8"/>
  <c r="G23" i="8"/>
  <c r="I17" i="3" s="1"/>
  <c r="N26" i="8"/>
  <c r="K14" i="3" s="1"/>
  <c r="G30" i="8"/>
  <c r="I19" i="3" s="1"/>
  <c r="F32" i="8"/>
  <c r="G19" i="8"/>
  <c r="I6" i="3" s="1"/>
  <c r="G25" i="8"/>
  <c r="I18" i="3" s="1"/>
  <c r="G32" i="8"/>
  <c r="I22" i="3" s="1"/>
  <c r="H21" i="3"/>
  <c r="B6" i="4"/>
  <c r="E29" i="8"/>
  <c r="F23" i="3"/>
  <c r="F13" i="3"/>
  <c r="F22" i="3"/>
  <c r="F7" i="3"/>
  <c r="F15" i="3"/>
  <c r="F20" i="3"/>
  <c r="F6" i="3"/>
  <c r="F19" i="3"/>
  <c r="F5" i="3"/>
  <c r="F17" i="3"/>
  <c r="F16" i="3"/>
  <c r="H6" i="3"/>
  <c r="D60" i="8"/>
  <c r="B17" i="4" s="1"/>
  <c r="T27" i="8"/>
  <c r="W27" i="8" s="1"/>
  <c r="D58" i="8"/>
  <c r="B15" i="4" s="1"/>
  <c r="D69" i="8"/>
  <c r="B22" i="4" s="1"/>
  <c r="E82" i="8"/>
  <c r="J25" i="8"/>
  <c r="J29" i="8"/>
  <c r="J31" i="8"/>
  <c r="F62" i="8"/>
  <c r="E21" i="8"/>
  <c r="F26" i="8"/>
  <c r="O33" i="8"/>
  <c r="E64" i="8"/>
  <c r="E98" i="8" s="1"/>
  <c r="J4" i="8"/>
  <c r="J6" i="8" s="1"/>
  <c r="K43" i="8"/>
  <c r="D23" i="3" s="1"/>
  <c r="R27" i="8"/>
  <c r="L21" i="3" s="1"/>
  <c r="O29" i="8"/>
  <c r="O31" i="8"/>
  <c r="G62" i="8"/>
  <c r="F96" i="8" s="1"/>
  <c r="D4" i="8"/>
  <c r="D6" i="8" s="1"/>
  <c r="D18" i="8"/>
  <c r="F19" i="8"/>
  <c r="K20" i="8"/>
  <c r="F21" i="8"/>
  <c r="H23" i="8"/>
  <c r="G26" i="8"/>
  <c r="I14" i="3" s="1"/>
  <c r="H28" i="8"/>
  <c r="D29" i="8"/>
  <c r="H30" i="8"/>
  <c r="D31" i="8"/>
  <c r="H32" i="8"/>
  <c r="D33" i="8"/>
  <c r="D104" i="8" s="1"/>
  <c r="G59" i="8"/>
  <c r="F64" i="8"/>
  <c r="G67" i="8"/>
  <c r="E62" i="8"/>
  <c r="E96" i="8" s="1"/>
  <c r="T13" i="8"/>
  <c r="J20" i="8"/>
  <c r="L25" i="8"/>
  <c r="J18" i="3" s="1"/>
  <c r="G21" i="8"/>
  <c r="I15" i="3" s="1"/>
  <c r="D22" i="8"/>
  <c r="D24" i="8"/>
  <c r="R25" i="8"/>
  <c r="D63" i="8"/>
  <c r="B14" i="4" s="1"/>
  <c r="F4" i="8"/>
  <c r="F6" i="8" s="1"/>
  <c r="K18" i="8"/>
  <c r="H19" i="8"/>
  <c r="E20" i="8"/>
  <c r="H21" i="8"/>
  <c r="E22" i="8"/>
  <c r="H16" i="3" s="1"/>
  <c r="J23" i="8"/>
  <c r="F24" i="8"/>
  <c r="I26" i="8"/>
  <c r="F63" i="8" s="1"/>
  <c r="J28" i="8"/>
  <c r="F29" i="8"/>
  <c r="J30" i="8"/>
  <c r="F31" i="8"/>
  <c r="J32" i="8"/>
  <c r="G69" i="8"/>
  <c r="L20" i="8"/>
  <c r="J7" i="3" s="1"/>
  <c r="L18" i="8"/>
  <c r="J5" i="3" s="1"/>
  <c r="I19" i="8"/>
  <c r="F20" i="8"/>
  <c r="I21" i="8"/>
  <c r="F58" i="8" s="1"/>
  <c r="F22" i="8"/>
  <c r="K23" i="8"/>
  <c r="H24" i="8"/>
  <c r="J26" i="8"/>
  <c r="O28" i="8"/>
  <c r="G29" i="8"/>
  <c r="I13" i="3" s="1"/>
  <c r="O30" i="8"/>
  <c r="G31" i="8"/>
  <c r="I20" i="3" s="1"/>
  <c r="D43" i="8"/>
  <c r="B6" i="3" s="1"/>
  <c r="G58" i="8"/>
  <c r="G66" i="8"/>
  <c r="F100" i="8" s="1"/>
  <c r="J22" i="8"/>
  <c r="D20" i="8"/>
  <c r="G56" i="8"/>
  <c r="G4" i="8"/>
  <c r="G6" i="8" s="1"/>
  <c r="J19" i="8"/>
  <c r="G20" i="8"/>
  <c r="D28" i="8"/>
  <c r="H29" i="8"/>
  <c r="D30" i="8"/>
  <c r="H31" i="8"/>
  <c r="R26" i="3"/>
  <c r="Q26" i="3"/>
  <c r="P26" i="3"/>
  <c r="O26" i="3"/>
  <c r="R24" i="3"/>
  <c r="Q24" i="3"/>
  <c r="P24" i="3"/>
  <c r="O24" i="3"/>
  <c r="R13" i="6" l="1"/>
  <c r="R8" i="6"/>
  <c r="S13" i="6"/>
  <c r="S8" i="6"/>
  <c r="H36" i="8"/>
  <c r="H38" i="8" s="1"/>
  <c r="M41" i="8"/>
  <c r="F97" i="8"/>
  <c r="D14" i="3" s="1"/>
  <c r="I11" i="3"/>
  <c r="I8" i="3"/>
  <c r="G60" i="8"/>
  <c r="D17" i="4" s="1"/>
  <c r="T21" i="8"/>
  <c r="W21" i="8" s="1"/>
  <c r="H15" i="3"/>
  <c r="N36" i="8"/>
  <c r="N38" i="8" s="1"/>
  <c r="K18" i="3"/>
  <c r="G36" i="8"/>
  <c r="G38" i="8" s="1"/>
  <c r="I7" i="3"/>
  <c r="E59" i="8"/>
  <c r="E93" i="8" s="1"/>
  <c r="C16" i="3" s="1"/>
  <c r="E68" i="8"/>
  <c r="E102" i="8"/>
  <c r="C20" i="3" s="1"/>
  <c r="F93" i="8"/>
  <c r="D16" i="3" s="1"/>
  <c r="D16" i="4"/>
  <c r="T23" i="8"/>
  <c r="W23" i="8" s="1"/>
  <c r="D21" i="3"/>
  <c r="F92" i="8"/>
  <c r="D15" i="3" s="1"/>
  <c r="D15" i="4"/>
  <c r="E36" i="8"/>
  <c r="E38" i="8" s="1"/>
  <c r="H7" i="3"/>
  <c r="B23" i="3"/>
  <c r="E58" i="8"/>
  <c r="E92" i="8" s="1"/>
  <c r="C15" i="3" s="1"/>
  <c r="F102" i="8"/>
  <c r="D20" i="3" s="1"/>
  <c r="D20" i="4"/>
  <c r="E21" i="3"/>
  <c r="E13" i="3"/>
  <c r="E20" i="3"/>
  <c r="E7" i="3"/>
  <c r="E15" i="3"/>
  <c r="E17" i="3"/>
  <c r="E16" i="3"/>
  <c r="E22" i="3"/>
  <c r="E19" i="3"/>
  <c r="E6" i="3"/>
  <c r="E5" i="3"/>
  <c r="E23" i="3"/>
  <c r="F99" i="8"/>
  <c r="D13" i="3" s="1"/>
  <c r="D13" i="4"/>
  <c r="E69" i="8"/>
  <c r="E103" i="8" s="1"/>
  <c r="C22" i="3" s="1"/>
  <c r="E57" i="8"/>
  <c r="E91" i="8" s="1"/>
  <c r="C7" i="3" s="1"/>
  <c r="E66" i="8"/>
  <c r="E100" i="8" s="1"/>
  <c r="T32" i="8"/>
  <c r="W32" i="8" s="1"/>
  <c r="G57" i="8"/>
  <c r="D7" i="4" s="1"/>
  <c r="E65" i="8"/>
  <c r="E99" i="8" s="1"/>
  <c r="D97" i="8"/>
  <c r="B14" i="3" s="1"/>
  <c r="T25" i="8"/>
  <c r="W25" i="8" s="1"/>
  <c r="H13" i="3"/>
  <c r="D103" i="8"/>
  <c r="B22" i="3" s="1"/>
  <c r="G61" i="8"/>
  <c r="D18" i="4" s="1"/>
  <c r="F90" i="8"/>
  <c r="D6" i="3" s="1"/>
  <c r="D6" i="4"/>
  <c r="E61" i="8"/>
  <c r="E95" i="8" s="1"/>
  <c r="C18" i="3" s="1"/>
  <c r="F103" i="8"/>
  <c r="D22" i="3" s="1"/>
  <c r="D22" i="4"/>
  <c r="R36" i="8"/>
  <c r="R38" i="8" s="1"/>
  <c r="L18" i="3"/>
  <c r="F101" i="8"/>
  <c r="D19" i="3" s="1"/>
  <c r="D19" i="4"/>
  <c r="E63" i="8"/>
  <c r="E97" i="8" s="1"/>
  <c r="C14" i="3" s="1"/>
  <c r="D94" i="8"/>
  <c r="B17" i="3" s="1"/>
  <c r="D92" i="8"/>
  <c r="B15" i="3" s="1"/>
  <c r="D68" i="8"/>
  <c r="B20" i="4" s="1"/>
  <c r="T31" i="8"/>
  <c r="W31" i="8" s="1"/>
  <c r="T30" i="8"/>
  <c r="W30" i="8" s="1"/>
  <c r="D67" i="8"/>
  <c r="B19" i="4" s="1"/>
  <c r="L36" i="8"/>
  <c r="L38" i="8" s="1"/>
  <c r="T18" i="8"/>
  <c r="W18" i="8" s="1"/>
  <c r="D36" i="8"/>
  <c r="D55" i="8"/>
  <c r="B5" i="4" s="1"/>
  <c r="O36" i="8"/>
  <c r="D66" i="8"/>
  <c r="D100" i="8" s="1"/>
  <c r="T29" i="8"/>
  <c r="W29" i="8" s="1"/>
  <c r="T19" i="8"/>
  <c r="W19" i="8" s="1"/>
  <c r="F36" i="8"/>
  <c r="E56" i="8"/>
  <c r="Q38" i="8"/>
  <c r="F83" i="8"/>
  <c r="G83" i="8" s="1"/>
  <c r="I83" i="8" s="1"/>
  <c r="G55" i="8"/>
  <c r="K36" i="8"/>
  <c r="T28" i="8"/>
  <c r="W28" i="8" s="1"/>
  <c r="D65" i="8"/>
  <c r="F56" i="8"/>
  <c r="F72" i="8" s="1"/>
  <c r="I36" i="8"/>
  <c r="J36" i="8"/>
  <c r="T22" i="8"/>
  <c r="W22" i="8" s="1"/>
  <c r="D59" i="8"/>
  <c r="B16" i="4" s="1"/>
  <c r="D57" i="8"/>
  <c r="B7" i="4" s="1"/>
  <c r="T20" i="8"/>
  <c r="W20" i="8" s="1"/>
  <c r="T24" i="8"/>
  <c r="W24" i="8" s="1"/>
  <c r="D61" i="8"/>
  <c r="B18" i="4" s="1"/>
  <c r="T33" i="8"/>
  <c r="W33" i="8" s="1"/>
  <c r="T26" i="8"/>
  <c r="W26" i="8" s="1"/>
  <c r="R28" i="3"/>
  <c r="Q28" i="3"/>
  <c r="R22" i="6"/>
  <c r="R20" i="6"/>
  <c r="R18" i="6"/>
  <c r="R16" i="6"/>
  <c r="R14" i="6"/>
  <c r="R10" i="6"/>
  <c r="R7" i="6"/>
  <c r="R5" i="6"/>
  <c r="R23" i="6"/>
  <c r="R21" i="6"/>
  <c r="R19" i="6"/>
  <c r="R17" i="6"/>
  <c r="R15" i="6"/>
  <c r="R11" i="6"/>
  <c r="R9" i="6"/>
  <c r="R6" i="6"/>
  <c r="S22" i="6"/>
  <c r="S20" i="6"/>
  <c r="S18" i="6"/>
  <c r="S16" i="6"/>
  <c r="S14" i="6"/>
  <c r="S10" i="6"/>
  <c r="S7" i="6"/>
  <c r="S5" i="6"/>
  <c r="S23" i="6"/>
  <c r="S21" i="6"/>
  <c r="S19" i="6"/>
  <c r="S17" i="6"/>
  <c r="S15" i="6"/>
  <c r="S11" i="6"/>
  <c r="S9" i="6"/>
  <c r="S6" i="6"/>
  <c r="U10" i="6"/>
  <c r="U16" i="6"/>
  <c r="U5" i="6"/>
  <c r="U18" i="6"/>
  <c r="U8" i="6"/>
  <c r="U23" i="6"/>
  <c r="U21" i="6"/>
  <c r="U19" i="6"/>
  <c r="U17" i="6"/>
  <c r="U15" i="6"/>
  <c r="U11" i="6"/>
  <c r="U9" i="6"/>
  <c r="U6" i="6"/>
  <c r="U13" i="6"/>
  <c r="U22" i="6"/>
  <c r="U20" i="6"/>
  <c r="U14" i="6"/>
  <c r="U7" i="6"/>
  <c r="T22" i="6"/>
  <c r="T20" i="6"/>
  <c r="T18" i="6"/>
  <c r="T16" i="6"/>
  <c r="T14" i="6"/>
  <c r="T10" i="6"/>
  <c r="T7" i="6"/>
  <c r="T5" i="6"/>
  <c r="T23" i="6"/>
  <c r="T21" i="6"/>
  <c r="T19" i="6"/>
  <c r="T17" i="6"/>
  <c r="T15" i="6"/>
  <c r="T11" i="6"/>
  <c r="T9" i="6"/>
  <c r="T6" i="6"/>
  <c r="T8" i="6"/>
  <c r="T13" i="6"/>
  <c r="O28" i="3"/>
  <c r="P28" i="3"/>
  <c r="D93" i="8" l="1"/>
  <c r="B16" i="3" s="1"/>
  <c r="I41" i="8"/>
  <c r="E72" i="8"/>
  <c r="D95" i="8"/>
  <c r="B18" i="3" s="1"/>
  <c r="D89" i="8"/>
  <c r="B5" i="3" s="1"/>
  <c r="F91" i="8"/>
  <c r="D7" i="3" s="1"/>
  <c r="G72" i="8"/>
  <c r="K41" i="8" s="1"/>
  <c r="D5" i="4"/>
  <c r="B11" i="4"/>
  <c r="D99" i="8"/>
  <c r="B13" i="3" s="1"/>
  <c r="D102" i="8"/>
  <c r="B20" i="3" s="1"/>
  <c r="C13" i="3"/>
  <c r="E90" i="8"/>
  <c r="C6" i="3" s="1"/>
  <c r="G46" i="8"/>
  <c r="F95" i="8"/>
  <c r="D18" i="3" s="1"/>
  <c r="F89" i="8"/>
  <c r="D5" i="3" s="1"/>
  <c r="F94" i="8"/>
  <c r="D17" i="3" s="1"/>
  <c r="H11" i="3"/>
  <c r="H8" i="3"/>
  <c r="D101" i="8"/>
  <c r="B19" i="3" s="1"/>
  <c r="D91" i="8"/>
  <c r="B7" i="3" s="1"/>
  <c r="K38" i="8"/>
  <c r="O41" i="8"/>
  <c r="O38" i="8"/>
  <c r="F82" i="8"/>
  <c r="D72" i="8"/>
  <c r="D41" i="8" s="1"/>
  <c r="F46" i="8"/>
  <c r="F38" i="8"/>
  <c r="F41" i="8"/>
  <c r="D38" i="8"/>
  <c r="T36" i="8"/>
  <c r="W36" i="8" s="1"/>
  <c r="T12" i="6"/>
  <c r="U24" i="6"/>
  <c r="U28" i="6" s="1"/>
  <c r="R24" i="6"/>
  <c r="R28" i="6" s="1"/>
  <c r="R12" i="6"/>
  <c r="T24" i="6"/>
  <c r="T28" i="6" s="1"/>
  <c r="U12" i="6"/>
  <c r="S24" i="6"/>
  <c r="S28" i="6" s="1"/>
  <c r="S12" i="6"/>
  <c r="J27" i="5"/>
  <c r="J14" i="5"/>
  <c r="C11" i="3" l="1"/>
  <c r="C8" i="3"/>
  <c r="B11" i="3"/>
  <c r="B8" i="3"/>
  <c r="G82" i="8"/>
  <c r="I82" i="8" s="1"/>
  <c r="F84" i="8"/>
  <c r="G12" i="4"/>
  <c r="G11" i="4"/>
  <c r="G10" i="4"/>
  <c r="G9" i="4"/>
  <c r="G8" i="4"/>
  <c r="C10" i="4"/>
  <c r="C9" i="4"/>
  <c r="C12" i="4" s="1"/>
  <c r="E12" i="4"/>
  <c r="D12" i="4"/>
  <c r="C27" i="4"/>
  <c r="E23" i="4"/>
  <c r="D23" i="4"/>
  <c r="G15" i="5" s="1"/>
  <c r="C23" i="4"/>
  <c r="B23" i="4"/>
  <c r="E14" i="5" s="1"/>
  <c r="F14" i="5" l="1"/>
  <c r="F9" i="5"/>
  <c r="E9" i="5"/>
  <c r="I84" i="8"/>
  <c r="J84" i="8" s="1"/>
  <c r="I52" i="8" s="1"/>
  <c r="I63" i="8" s="1"/>
  <c r="G12" i="5"/>
  <c r="J12" i="5" s="1"/>
  <c r="G9" i="5"/>
  <c r="G11" i="5"/>
  <c r="J11" i="5" s="1"/>
  <c r="G10" i="5"/>
  <c r="J10" i="5" s="1"/>
  <c r="G23" i="4"/>
  <c r="F17" i="5"/>
  <c r="F7" i="5"/>
  <c r="F20" i="5"/>
  <c r="F27" i="5"/>
  <c r="F16" i="5"/>
  <c r="F6" i="5"/>
  <c r="F22" i="5"/>
  <c r="F11" i="5"/>
  <c r="F10" i="5"/>
  <c r="F19" i="5"/>
  <c r="F8" i="5"/>
  <c r="F23" i="5"/>
  <c r="F15" i="5"/>
  <c r="F12" i="5"/>
  <c r="F18" i="5"/>
  <c r="F21" i="5"/>
  <c r="H12" i="5"/>
  <c r="H11" i="5"/>
  <c r="H10" i="5"/>
  <c r="H9" i="5"/>
  <c r="C29" i="4"/>
  <c r="E14" i="4" l="1"/>
  <c r="I57" i="8"/>
  <c r="E7" i="4" s="1"/>
  <c r="I67" i="8"/>
  <c r="E19" i="4" s="1"/>
  <c r="I66" i="8"/>
  <c r="I68" i="8"/>
  <c r="E20" i="4" s="1"/>
  <c r="I56" i="8"/>
  <c r="E6" i="4" s="1"/>
  <c r="I62" i="8"/>
  <c r="I64" i="8"/>
  <c r="I61" i="8"/>
  <c r="I55" i="8"/>
  <c r="E5" i="4" s="1"/>
  <c r="I60" i="8"/>
  <c r="E17" i="4" s="1"/>
  <c r="I65" i="8"/>
  <c r="I59" i="8"/>
  <c r="E16" i="4" s="1"/>
  <c r="I69" i="8"/>
  <c r="E22" i="4" s="1"/>
  <c r="I58" i="8"/>
  <c r="E15" i="4" s="1"/>
  <c r="K82" i="8"/>
  <c r="J63" i="8" s="1"/>
  <c r="G97" i="8" s="1"/>
  <c r="E14" i="3" s="1"/>
  <c r="H13" i="5"/>
  <c r="J9" i="5"/>
  <c r="G13" i="5"/>
  <c r="J13" i="5" s="1"/>
  <c r="F25" i="5"/>
  <c r="F29" i="5" s="1"/>
  <c r="F13" i="5"/>
  <c r="E18" i="4" l="1"/>
  <c r="J61" i="8"/>
  <c r="G95" i="8" s="1"/>
  <c r="E18" i="3" s="1"/>
  <c r="I72" i="8"/>
  <c r="Q41" i="8" s="1"/>
  <c r="E21" i="4"/>
  <c r="H22" i="5" s="1"/>
  <c r="K64" i="8"/>
  <c r="H98" i="8" s="1"/>
  <c r="F21" i="3" s="1"/>
  <c r="K63" i="8"/>
  <c r="H97" i="8" s="1"/>
  <c r="F14" i="3" s="1"/>
  <c r="L24" i="3"/>
  <c r="K24" i="3"/>
  <c r="J24" i="3"/>
  <c r="M5" i="6" s="1"/>
  <c r="I24" i="3"/>
  <c r="H24" i="3"/>
  <c r="L12" i="3"/>
  <c r="K12" i="3"/>
  <c r="F24" i="3"/>
  <c r="E24" i="3"/>
  <c r="D24" i="3"/>
  <c r="G7" i="6" s="1"/>
  <c r="C24" i="3"/>
  <c r="B24" i="3"/>
  <c r="K13" i="6" l="1"/>
  <c r="K8" i="6"/>
  <c r="I21" i="6"/>
  <c r="E21" i="6"/>
  <c r="E13" i="6"/>
  <c r="E8" i="6"/>
  <c r="L13" i="6"/>
  <c r="L8" i="6"/>
  <c r="F21" i="6"/>
  <c r="F13" i="6"/>
  <c r="F8" i="6"/>
  <c r="K61" i="8"/>
  <c r="H95" i="8" s="1"/>
  <c r="F18" i="3" s="1"/>
  <c r="O8" i="6"/>
  <c r="O13" i="6"/>
  <c r="O9" i="6"/>
  <c r="O11" i="6"/>
  <c r="O10" i="6"/>
  <c r="N9" i="6"/>
  <c r="N13" i="6"/>
  <c r="N8" i="6"/>
  <c r="N11" i="6"/>
  <c r="N10" i="6"/>
  <c r="K22" i="6"/>
  <c r="O12" i="6" l="1"/>
  <c r="N12" i="6"/>
  <c r="N21" i="6"/>
  <c r="N7" i="6"/>
  <c r="N20" i="6"/>
  <c r="N6" i="6"/>
  <c r="N19" i="6"/>
  <c r="N17" i="6"/>
  <c r="N16" i="6"/>
  <c r="N22" i="6"/>
  <c r="N23" i="6"/>
  <c r="N15" i="6"/>
  <c r="M16" i="6"/>
  <c r="M23" i="6"/>
  <c r="M15" i="6"/>
  <c r="M6" i="6"/>
  <c r="M22" i="6"/>
  <c r="M21" i="6"/>
  <c r="M20" i="6"/>
  <c r="M19" i="6"/>
  <c r="K6" i="6"/>
  <c r="K21" i="6"/>
  <c r="O16" i="6"/>
  <c r="O23" i="6"/>
  <c r="O15" i="6"/>
  <c r="O22" i="6"/>
  <c r="O7" i="6"/>
  <c r="O20" i="6"/>
  <c r="O6" i="6"/>
  <c r="O17" i="6"/>
  <c r="O19" i="6"/>
  <c r="L21" i="6"/>
  <c r="O14" i="6"/>
  <c r="O21" i="6"/>
  <c r="E7" i="5"/>
  <c r="H18" i="6"/>
  <c r="H5" i="6"/>
  <c r="H17" i="6"/>
  <c r="H16" i="6"/>
  <c r="H13" i="6"/>
  <c r="H7" i="6"/>
  <c r="H20" i="6"/>
  <c r="H6" i="6"/>
  <c r="H23" i="6"/>
  <c r="H15" i="6"/>
  <c r="H22" i="6"/>
  <c r="H14" i="6"/>
  <c r="H21" i="6"/>
  <c r="H19" i="6"/>
  <c r="K5" i="6"/>
  <c r="K16" i="6"/>
  <c r="M17" i="6"/>
  <c r="K23" i="6"/>
  <c r="K18" i="6"/>
  <c r="L16" i="6"/>
  <c r="K15" i="6"/>
  <c r="N14" i="6"/>
  <c r="K20" i="6"/>
  <c r="K7" i="6"/>
  <c r="K14" i="6"/>
  <c r="E22" i="5"/>
  <c r="E18" i="5"/>
  <c r="E23" i="5"/>
  <c r="K17" i="6"/>
  <c r="M14" i="6"/>
  <c r="K19" i="6"/>
  <c r="G13" i="4"/>
  <c r="L19" i="6"/>
  <c r="L22" i="6"/>
  <c r="L14" i="6"/>
  <c r="L17" i="6"/>
  <c r="M18" i="6"/>
  <c r="L6" i="6"/>
  <c r="M7" i="6"/>
  <c r="L15" i="6"/>
  <c r="L20" i="6"/>
  <c r="L7" i="6"/>
  <c r="G16" i="5" l="1"/>
  <c r="J16" i="5" s="1"/>
  <c r="G15" i="4"/>
  <c r="G6" i="5"/>
  <c r="G5" i="4"/>
  <c r="D27" i="4"/>
  <c r="D29" i="4" s="1"/>
  <c r="L5" i="6"/>
  <c r="J26" i="3"/>
  <c r="J28" i="3" s="1"/>
  <c r="G8" i="5"/>
  <c r="J8" i="5" s="1"/>
  <c r="G7" i="4"/>
  <c r="G21" i="5"/>
  <c r="J21" i="5" s="1"/>
  <c r="G20" i="4"/>
  <c r="L18" i="6"/>
  <c r="N5" i="6"/>
  <c r="G19" i="5"/>
  <c r="J19" i="5" s="1"/>
  <c r="G18" i="4"/>
  <c r="L23" i="6"/>
  <c r="O5" i="6"/>
  <c r="L26" i="3"/>
  <c r="L28" i="3" s="1"/>
  <c r="G17" i="5"/>
  <c r="J17" i="5" s="1"/>
  <c r="G16" i="4"/>
  <c r="G18" i="5"/>
  <c r="J18" i="5" s="1"/>
  <c r="G17" i="4"/>
  <c r="G22" i="5"/>
  <c r="J22" i="5" s="1"/>
  <c r="G21" i="4"/>
  <c r="N18" i="6"/>
  <c r="O18" i="6"/>
  <c r="M13" i="6"/>
  <c r="M9" i="6"/>
  <c r="M11" i="6"/>
  <c r="M10" i="6"/>
  <c r="K11" i="6"/>
  <c r="H10" i="3"/>
  <c r="K10" i="6" s="1"/>
  <c r="H9" i="3"/>
  <c r="K9" i="6" s="1"/>
  <c r="G7" i="5"/>
  <c r="J7" i="5" s="1"/>
  <c r="G6" i="4"/>
  <c r="G20" i="5"/>
  <c r="J20" i="5" s="1"/>
  <c r="G19" i="4"/>
  <c r="J15" i="5"/>
  <c r="G14" i="4"/>
  <c r="G23" i="5"/>
  <c r="J23" i="5" s="1"/>
  <c r="G22" i="4"/>
  <c r="G16" i="6"/>
  <c r="G23" i="6"/>
  <c r="G15" i="6"/>
  <c r="G22" i="6"/>
  <c r="G14" i="6"/>
  <c r="G6" i="6"/>
  <c r="G21" i="6"/>
  <c r="G20" i="6"/>
  <c r="G17" i="6"/>
  <c r="G19" i="6"/>
  <c r="G18" i="6"/>
  <c r="G13" i="6"/>
  <c r="E26" i="3"/>
  <c r="E28" i="3" s="1"/>
  <c r="H26" i="3"/>
  <c r="H28" i="3" s="1"/>
  <c r="E23" i="6"/>
  <c r="E7" i="6"/>
  <c r="E22" i="6"/>
  <c r="E6" i="6"/>
  <c r="E20" i="6"/>
  <c r="E5" i="6"/>
  <c r="E19" i="6"/>
  <c r="E18" i="6"/>
  <c r="E16" i="6"/>
  <c r="E17" i="6"/>
  <c r="E15" i="6"/>
  <c r="E14" i="6"/>
  <c r="I17" i="6"/>
  <c r="I7" i="6"/>
  <c r="I16" i="6"/>
  <c r="I6" i="6"/>
  <c r="I14" i="6"/>
  <c r="I15" i="6"/>
  <c r="I5" i="6"/>
  <c r="I13" i="6"/>
  <c r="I20" i="6"/>
  <c r="I18" i="6"/>
  <c r="I23" i="6"/>
  <c r="I22" i="6"/>
  <c r="I19" i="6"/>
  <c r="E10" i="3"/>
  <c r="H10" i="6" s="1"/>
  <c r="E11" i="3"/>
  <c r="H11" i="6" s="1"/>
  <c r="E8" i="3"/>
  <c r="H8" i="6" s="1"/>
  <c r="E9" i="3"/>
  <c r="H9" i="6" s="1"/>
  <c r="E16" i="5"/>
  <c r="E8" i="5"/>
  <c r="E21" i="5"/>
  <c r="E15" i="5"/>
  <c r="E19" i="5"/>
  <c r="E20" i="5"/>
  <c r="E17" i="5"/>
  <c r="H24" i="6" l="1"/>
  <c r="H28" i="6" s="1"/>
  <c r="O24" i="6"/>
  <c r="O28" i="6" s="1"/>
  <c r="L11" i="6"/>
  <c r="I10" i="3"/>
  <c r="L10" i="6" s="1"/>
  <c r="I9" i="3"/>
  <c r="L9" i="6" s="1"/>
  <c r="B27" i="4"/>
  <c r="B29" i="4" s="1"/>
  <c r="J12" i="3"/>
  <c r="M8" i="6"/>
  <c r="M12" i="6" s="1"/>
  <c r="H12" i="3"/>
  <c r="G27" i="4"/>
  <c r="G29" i="4" s="1"/>
  <c r="D26" i="3"/>
  <c r="D28" i="3" s="1"/>
  <c r="G5" i="6"/>
  <c r="K26" i="3"/>
  <c r="K28" i="3" s="1"/>
  <c r="J6" i="5"/>
  <c r="G25" i="5"/>
  <c r="E6" i="5"/>
  <c r="H12" i="6"/>
  <c r="N24" i="6"/>
  <c r="N28" i="6" s="1"/>
  <c r="I26" i="3"/>
  <c r="I28" i="3" s="1"/>
  <c r="F11" i="3"/>
  <c r="I11" i="6" s="1"/>
  <c r="F10" i="3"/>
  <c r="I10" i="6" s="1"/>
  <c r="F9" i="3"/>
  <c r="I9" i="6" s="1"/>
  <c r="F8" i="3"/>
  <c r="I8" i="6" s="1"/>
  <c r="F26" i="3"/>
  <c r="F28" i="3" s="1"/>
  <c r="D9" i="3"/>
  <c r="G9" i="6" s="1"/>
  <c r="D8" i="3"/>
  <c r="G8" i="6" s="1"/>
  <c r="D11" i="3"/>
  <c r="G11" i="6" s="1"/>
  <c r="D10" i="3"/>
  <c r="G10" i="6" s="1"/>
  <c r="B26" i="3"/>
  <c r="B28" i="3" s="1"/>
  <c r="F18" i="6"/>
  <c r="F17" i="6"/>
  <c r="F16" i="6"/>
  <c r="F15" i="6"/>
  <c r="F14" i="6"/>
  <c r="F7" i="6"/>
  <c r="F20" i="6"/>
  <c r="F19" i="6"/>
  <c r="F5" i="6"/>
  <c r="F23" i="6"/>
  <c r="F22" i="6"/>
  <c r="F6" i="6"/>
  <c r="B10" i="3"/>
  <c r="E10" i="6" s="1"/>
  <c r="B9" i="3"/>
  <c r="E9" i="6" s="1"/>
  <c r="E11" i="6"/>
  <c r="E12" i="3"/>
  <c r="E24" i="6" l="1"/>
  <c r="E28" i="6" s="1"/>
  <c r="G24" i="6"/>
  <c r="G28" i="6" s="1"/>
  <c r="E12" i="6"/>
  <c r="I12" i="6"/>
  <c r="E12" i="5"/>
  <c r="B10" i="4"/>
  <c r="E11" i="5" s="1"/>
  <c r="B9" i="4"/>
  <c r="E10" i="5" s="1"/>
  <c r="I12" i="3"/>
  <c r="G29" i="5"/>
  <c r="J29" i="5" s="1"/>
  <c r="J25" i="5"/>
  <c r="K12" i="6"/>
  <c r="K24" i="6"/>
  <c r="K28" i="6" s="1"/>
  <c r="G12" i="6"/>
  <c r="M24" i="6"/>
  <c r="M28" i="6" s="1"/>
  <c r="I24" i="6"/>
  <c r="I28" i="6" s="1"/>
  <c r="D12" i="3"/>
  <c r="C26" i="3"/>
  <c r="C28" i="3" s="1"/>
  <c r="C10" i="3"/>
  <c r="F10" i="6" s="1"/>
  <c r="C9" i="3"/>
  <c r="F9" i="6" s="1"/>
  <c r="F11" i="6"/>
  <c r="B12" i="3"/>
  <c r="F12" i="3"/>
  <c r="F12" i="6" l="1"/>
  <c r="F24" i="6"/>
  <c r="F28" i="6" s="1"/>
  <c r="L12" i="6"/>
  <c r="L24" i="6"/>
  <c r="L28" i="6" s="1"/>
  <c r="B12" i="4"/>
  <c r="C12" i="3"/>
  <c r="H16" i="5"/>
  <c r="H7" i="5"/>
  <c r="H17" i="5"/>
  <c r="H8" i="5"/>
  <c r="H18" i="5"/>
  <c r="H19" i="5"/>
  <c r="H21" i="5"/>
  <c r="H20" i="5"/>
  <c r="H23" i="5"/>
  <c r="H15" i="5"/>
  <c r="H6" i="5" l="1"/>
  <c r="H25" i="5" s="1"/>
  <c r="H29" i="5" s="1"/>
  <c r="E27" i="4"/>
  <c r="E29" i="4" s="1"/>
  <c r="E25" i="5"/>
  <c r="E29" i="5" s="1"/>
  <c r="E13" i="5"/>
</calcChain>
</file>

<file path=xl/sharedStrings.xml><?xml version="1.0" encoding="utf-8"?>
<sst xmlns="http://schemas.openxmlformats.org/spreadsheetml/2006/main" count="630" uniqueCount="262">
  <si>
    <t>The Ohio State University</t>
  </si>
  <si>
    <t>Summary of Projected Benefit Costs</t>
  </si>
  <si>
    <t>by Rate Group</t>
  </si>
  <si>
    <t>Proj Avg Sal per FTE -FY22</t>
  </si>
  <si>
    <t>PD Fellows</t>
  </si>
  <si>
    <t>Proj Avg Sal per FTE -FY21</t>
  </si>
  <si>
    <t>Mapped to Rate 2</t>
  </si>
  <si>
    <t>% Change</t>
  </si>
  <si>
    <t>for 20-21 Rates</t>
  </si>
  <si>
    <t>Faculty</t>
  </si>
  <si>
    <t>Classified Civil Service</t>
  </si>
  <si>
    <t>Specials</t>
  </si>
  <si>
    <t>Students</t>
  </si>
  <si>
    <t>Grad Assistants</t>
  </si>
  <si>
    <t>Totals</t>
  </si>
  <si>
    <t>Primary</t>
  </si>
  <si>
    <t>% Rate/</t>
  </si>
  <si>
    <t>Rate 1</t>
  </si>
  <si>
    <t>Rate 11</t>
  </si>
  <si>
    <t>Rate 2</t>
  </si>
  <si>
    <t>Rate 3</t>
  </si>
  <si>
    <t>Rate 13</t>
  </si>
  <si>
    <t>Rate 4</t>
  </si>
  <si>
    <t>Rate 14</t>
  </si>
  <si>
    <t>Rate 5</t>
  </si>
  <si>
    <t>Rate 15</t>
  </si>
  <si>
    <t>Rate 6</t>
  </si>
  <si>
    <t>Rate 16</t>
  </si>
  <si>
    <t>Rate 7</t>
  </si>
  <si>
    <t>Rate 17</t>
  </si>
  <si>
    <t>Cost Driver</t>
  </si>
  <si>
    <t>Cost per Head</t>
  </si>
  <si>
    <t>UNIV/OSP</t>
  </si>
  <si>
    <t>Health System</t>
  </si>
  <si>
    <t>UNIV/RF</t>
  </si>
  <si>
    <t>Group Practice</t>
  </si>
  <si>
    <t>Projected Salary</t>
  </si>
  <si>
    <t>Headcount (benefit-eligible FTE)</t>
  </si>
  <si>
    <t>HR Projected Costs</t>
  </si>
  <si>
    <t>Difference</t>
  </si>
  <si>
    <t>STRS</t>
  </si>
  <si>
    <t>Salary $</t>
  </si>
  <si>
    <t>PERS</t>
  </si>
  <si>
    <t>HR est inflated by headcounts and possibly above-guideline raises in HS</t>
  </si>
  <si>
    <t>Medicare</t>
  </si>
  <si>
    <t>Group Life</t>
  </si>
  <si>
    <t>Disability</t>
  </si>
  <si>
    <t>Unemployment Comp</t>
  </si>
  <si>
    <t>Workers Comp-UNIV/RF</t>
  </si>
  <si>
    <t>Workers Comp-Health System</t>
  </si>
  <si>
    <t>Other Benefit Admin Costs</t>
  </si>
  <si>
    <t>HR medical plan cost projection (below) also includes these general benefit admin costs</t>
  </si>
  <si>
    <t>Student Insurance</t>
  </si>
  <si>
    <t>Medical Plans</t>
  </si>
  <si>
    <t>Headcount</t>
  </si>
  <si>
    <t>Affordable Care Act Fees</t>
  </si>
  <si>
    <t>Vision</t>
  </si>
  <si>
    <t>Dental</t>
  </si>
  <si>
    <t>Employee Tuition</t>
  </si>
  <si>
    <t>Dependent Tuition (UNIV-HS only)</t>
  </si>
  <si>
    <t>Total Projected Benefit Costs</t>
  </si>
  <si>
    <t>Projected Rates (excluding Stabilization DR/CR)</t>
  </si>
  <si>
    <t>Total Projected Benefit Costs - UNIV only</t>
  </si>
  <si>
    <t>Total Projected Salary/Wages - UNIV only</t>
  </si>
  <si>
    <t>Projected Combined Staff Rate (Unclassified and CCS)</t>
  </si>
  <si>
    <t>Projected Benefit Costs - RF Only:</t>
  </si>
  <si>
    <t>(UNIV/RF break-out by % of Projected Salary for Rates 1-4)</t>
  </si>
  <si>
    <t>(see below for Rate 5 % calc…)</t>
  </si>
  <si>
    <t>Combined 5/6/7</t>
  </si>
  <si>
    <t>COBRA Admin/Other Admin Costs</t>
  </si>
  <si>
    <t>NOTE: No dependent tuition costs included in RF rates</t>
  </si>
  <si>
    <t>Total Projected Benefit Costs (excluding add-ons)</t>
  </si>
  <si>
    <t>Total Projected RF Salary/Wages</t>
  </si>
  <si>
    <t>Rate 5 - Student/Grad/Fellow Weighted Average:</t>
  </si>
  <si>
    <t>Projected UNIV</t>
  </si>
  <si>
    <t>Total Projected</t>
  </si>
  <si>
    <t>Projected</t>
  </si>
  <si>
    <t>RF Projected</t>
  </si>
  <si>
    <t>Salary</t>
  </si>
  <si>
    <t>UNIV Benefit</t>
  </si>
  <si>
    <t>Benefit Cost</t>
  </si>
  <si>
    <t>Benefit</t>
  </si>
  <si>
    <t>RF Salary</t>
  </si>
  <si>
    <t>(incl. RF)</t>
  </si>
  <si>
    <t>Costs (incl. RF)</t>
  </si>
  <si>
    <t>per $ of Salary</t>
  </si>
  <si>
    <t>Costs</t>
  </si>
  <si>
    <t>% for Proration</t>
  </si>
  <si>
    <t>Students (undergrads) and Fellows</t>
  </si>
  <si>
    <t>Graduate Assistants</t>
  </si>
  <si>
    <t xml:space="preserve">    Total for RF Rate 5</t>
  </si>
  <si>
    <t>Univ only</t>
  </si>
  <si>
    <t>Rate 2+3</t>
  </si>
  <si>
    <t>UNIV ONLY</t>
  </si>
  <si>
    <t>University</t>
  </si>
  <si>
    <t>Rate 2/3</t>
  </si>
  <si>
    <t>Hlth Syst</t>
  </si>
  <si>
    <t>OSP</t>
  </si>
  <si>
    <t>FGP</t>
  </si>
  <si>
    <t>RCP10</t>
  </si>
  <si>
    <t>RCP15</t>
  </si>
  <si>
    <t>RCP25</t>
  </si>
  <si>
    <t>RCP STRS/ARP/NewHire</t>
  </si>
  <si>
    <t>MEDICARE</t>
  </si>
  <si>
    <t>Prime Care Advantage</t>
  </si>
  <si>
    <t>Prime Care Choice</t>
  </si>
  <si>
    <t>Out-Of-Area Plan</t>
  </si>
  <si>
    <t>Prime Care Connect</t>
  </si>
  <si>
    <t>Subtotal</t>
  </si>
  <si>
    <t>MEDICAL</t>
  </si>
  <si>
    <t>Benefit Admin</t>
  </si>
  <si>
    <t>GROUP LIFE</t>
  </si>
  <si>
    <t>LT DISABILITY</t>
  </si>
  <si>
    <t>UNEMPLOYMENT COMP.</t>
  </si>
  <si>
    <t>WORKERS COMP</t>
  </si>
  <si>
    <t>GROUP VISION</t>
  </si>
  <si>
    <t>GROUP DENTAL</t>
  </si>
  <si>
    <t>GA Hlth Ins Subsidy</t>
  </si>
  <si>
    <t>EMPLOYEE TUITION</t>
  </si>
  <si>
    <t>DEPENDENT TUITION</t>
  </si>
  <si>
    <t>PUBLISHED RATE</t>
  </si>
  <si>
    <t>Rate</t>
  </si>
  <si>
    <t>Staff Comb</t>
  </si>
  <si>
    <t>Student</t>
  </si>
  <si>
    <t>GA</t>
  </si>
  <si>
    <t>Univ</t>
  </si>
  <si>
    <t>Student/GA</t>
  </si>
  <si>
    <t>Vacation/Sick</t>
  </si>
  <si>
    <t>In RCP</t>
  </si>
  <si>
    <t xml:space="preserve">  Subtotal - Base Rates (excluding RF add-ons)</t>
  </si>
  <si>
    <t>Add: Vac/Sick Termination Payments</t>
  </si>
  <si>
    <t xml:space="preserve">  Total Negotiated RF Fringe Rates</t>
  </si>
  <si>
    <t>Workers Comp</t>
  </si>
  <si>
    <t>Admin</t>
  </si>
  <si>
    <t>PJ106341</t>
  </si>
  <si>
    <t>PJ106284</t>
  </si>
  <si>
    <t>PJ106305</t>
  </si>
  <si>
    <t>PJ106410</t>
  </si>
  <si>
    <t>PJ106408</t>
  </si>
  <si>
    <t>PJ106421</t>
  </si>
  <si>
    <t>PJ106420</t>
  </si>
  <si>
    <t>PJ106432</t>
  </si>
  <si>
    <t>PJ106406</t>
  </si>
  <si>
    <t>PJ106309</t>
  </si>
  <si>
    <t>PJ106419</t>
  </si>
  <si>
    <t>PJ106422</t>
  </si>
  <si>
    <t>PJ106414</t>
  </si>
  <si>
    <t>PJ106401</t>
  </si>
  <si>
    <t>PJ106403</t>
  </si>
  <si>
    <t>PJ106400</t>
  </si>
  <si>
    <t>PJ106386</t>
  </si>
  <si>
    <t>TOTAL</t>
  </si>
  <si>
    <t>Check</t>
  </si>
  <si>
    <t>PJ106405</t>
  </si>
  <si>
    <t>RCP</t>
  </si>
  <si>
    <t>STRS/ARP</t>
  </si>
  <si>
    <t>Newhire</t>
  </si>
  <si>
    <t>PJ108393</t>
  </si>
  <si>
    <t>Name</t>
  </si>
  <si>
    <t>Fund</t>
  </si>
  <si>
    <t>Balancing Unit</t>
  </si>
  <si>
    <t>Project</t>
  </si>
  <si>
    <t>FD111 Designated Other Fund</t>
  </si>
  <si>
    <t>BL1210 General University | OHR Benefits</t>
  </si>
  <si>
    <t>BL1221 General University | Office of Sponsored Programs (OSP)</t>
  </si>
  <si>
    <t>Salary Spend Cat</t>
  </si>
  <si>
    <t>Sal Spend Cat Description</t>
  </si>
  <si>
    <t>SC10007</t>
  </si>
  <si>
    <t>Salaries | 9 month | Faculty Base | Clinical Track | Regular &gt;=50% (SC10007)</t>
  </si>
  <si>
    <t>SC10021</t>
  </si>
  <si>
    <t>Salaries | 9 month | Faculty Base |Research Track | Regular &gt;=50% (SC10021)</t>
  </si>
  <si>
    <t>SC10024</t>
  </si>
  <si>
    <t>Salaries | 9 month | Faculty Base | Tenure Track | Regular &gt;=50% (SC10024)</t>
  </si>
  <si>
    <t>SC10006</t>
  </si>
  <si>
    <t>Salaries | 12 month | Faculty Base | Clinical Track | Regular &gt;=50% (SC10006)</t>
  </si>
  <si>
    <t>SC10020</t>
  </si>
  <si>
    <t>Salaries | 12 month | Faculty Base | Research Track | Regular &gt;=50% (SC10020)</t>
  </si>
  <si>
    <t>SC10022</t>
  </si>
  <si>
    <t>Salaries | 12 month | Faculty Base | Tenure Track | Regular &gt;=50% (SC10022)</t>
  </si>
  <si>
    <t>SC10005</t>
  </si>
  <si>
    <t>Salaries | Clinical Instructor Base Health System | Regular or Term and &gt;=50% (SC10005)</t>
  </si>
  <si>
    <t>SC10010</t>
  </si>
  <si>
    <t>Salaries | Faculty Base |Term or Lecturers and &gt;=50% (SC10010)</t>
  </si>
  <si>
    <t>SC10001</t>
  </si>
  <si>
    <t>Salaries | Classified Civil Service Base | Regular &gt;=50% (SC10001)</t>
  </si>
  <si>
    <t>SC10008</t>
  </si>
  <si>
    <t>Salaries | Administrative Faculty Appointments Base | &gt;=50% (SC10008)</t>
  </si>
  <si>
    <t>SC10053</t>
  </si>
  <si>
    <t>Salaries | Unclassified Base | Regular &gt;=50% (SC10053)</t>
  </si>
  <si>
    <t>SC10056</t>
  </si>
  <si>
    <t>Salaries | Unclassified Base | Term &gt;=50% (SC10056)</t>
  </si>
  <si>
    <t>SC10057</t>
  </si>
  <si>
    <t>Salaries | Unclassified Base | Post Doctoral Scholar Base | Term &gt;=50% (SC10057)</t>
  </si>
  <si>
    <t>SC10004</t>
  </si>
  <si>
    <t>Salaries | Clinical Instructor Base Health System | Temporary &lt;50% (SC10004)</t>
  </si>
  <si>
    <t>SC10011</t>
  </si>
  <si>
    <t>Salaries | Faculty Base |  &lt;50% OR Temporary (SC10011)</t>
  </si>
  <si>
    <t>SC10002</t>
  </si>
  <si>
    <t>Salaries | Classified Civil Service Base | Regular &lt;50% OR Temporary (SC10002)</t>
  </si>
  <si>
    <t>SC10009</t>
  </si>
  <si>
    <t>Salaries | Administrative Faculty Appointments Base | &lt;50% (SC10009)</t>
  </si>
  <si>
    <t>SC10052</t>
  </si>
  <si>
    <t>Salaries | Unclassified Base | &lt; 50% OR Temporary (SC10052)</t>
  </si>
  <si>
    <t>SC10031</t>
  </si>
  <si>
    <t>Salaries | Student Non-FWS Biweekly Base | Underenrolled or Non OSU Student (SC10031)</t>
  </si>
  <si>
    <t>SC10049</t>
  </si>
  <si>
    <t>Salaries | Additional Pay with Retirement (SC10049)</t>
  </si>
  <si>
    <t>SC10050</t>
  </si>
  <si>
    <t>Salaries | Faculty Off Duty Pay (SC10050)</t>
  </si>
  <si>
    <t>SC10874</t>
  </si>
  <si>
    <t>Salaries | Compensatory Time Payout Current Year (SC10874)</t>
  </si>
  <si>
    <t>SC10003</t>
  </si>
  <si>
    <t>Salaries | Classified Civil Service Overtime (SC10003)</t>
  </si>
  <si>
    <t>SC10054</t>
  </si>
  <si>
    <t>Salaries | Unclassified Overtime (SC10054)</t>
  </si>
  <si>
    <t>SC10029</t>
  </si>
  <si>
    <t>Salaries | Student FWS Biweekly Base (SC10029)</t>
  </si>
  <si>
    <t>SC10030</t>
  </si>
  <si>
    <t>Salaries | Student Non-FWS Biweekly Base| Enrolled (SC10030)</t>
  </si>
  <si>
    <t>SC10032</t>
  </si>
  <si>
    <t>Salaries | Student Overtime (SC10032)</t>
  </si>
  <si>
    <t>SC10045</t>
  </si>
  <si>
    <t>Salaries | Additional Pay without Retirement (SC10045)</t>
  </si>
  <si>
    <t>SC10046</t>
  </si>
  <si>
    <t>Salaries | Retirement Incentive (SC10046)</t>
  </si>
  <si>
    <t>SC10875</t>
  </si>
  <si>
    <t>Salaries | Compensatory Time Payout Previous Year (SC10875)</t>
  </si>
  <si>
    <t>SC10026</t>
  </si>
  <si>
    <t>Salaries | Graduate Administrative Associate (SC10026)</t>
  </si>
  <si>
    <t>SC10027</t>
  </si>
  <si>
    <t>Salaries | Graduate Research Associate (SC10027)</t>
  </si>
  <si>
    <t>SC10028</t>
  </si>
  <si>
    <t>Salaries | Graduate Teaching Associate (SC10028)</t>
  </si>
  <si>
    <t>SC10373</t>
  </si>
  <si>
    <t>Student Fellowships (SC10373)</t>
  </si>
  <si>
    <t>NCH</t>
  </si>
  <si>
    <t>SC10025</t>
  </si>
  <si>
    <t>Salaries | 9 month | Faculty Base |Nationwide Children's Hospital (SC10025)</t>
  </si>
  <si>
    <t>SC10023</t>
  </si>
  <si>
    <t>Salaries | 12 month | Faculty Base | Nationwide Children's Hospital (SC10023)</t>
  </si>
  <si>
    <t>FGP (New Hires/STRS/Formely SCN)</t>
  </si>
  <si>
    <t>SC10012</t>
  </si>
  <si>
    <t>Salaries | FGP Base Base New Hires (SC10012)</t>
  </si>
  <si>
    <t>SC10019</t>
  </si>
  <si>
    <t>Salaries | FGP Base subject to STRS/ARP (SC10019)</t>
  </si>
  <si>
    <t>SC10014</t>
  </si>
  <si>
    <t>Salaries | FGP Base Formerly Specialty Care Network (SC10014)</t>
  </si>
  <si>
    <t>FGP Rate 10</t>
  </si>
  <si>
    <t>SC10013</t>
  </si>
  <si>
    <t>Salaries | FGP Base subject to RCP10 (SC10013)</t>
  </si>
  <si>
    <t>FGP Rate 15</t>
  </si>
  <si>
    <t>SC10015</t>
  </si>
  <si>
    <t>Salaries | FGP Base subject to RCP15 (SC10015)</t>
  </si>
  <si>
    <t>FGP Rate 25</t>
  </si>
  <si>
    <t>SC10017</t>
  </si>
  <si>
    <t>Salaries | FGP Base subject to RCP25 (SC10017)</t>
  </si>
  <si>
    <t>UNIV</t>
  </si>
  <si>
    <t>OSUHS</t>
  </si>
  <si>
    <t>Univ/OSUHS</t>
  </si>
  <si>
    <t>Combined Staff</t>
  </si>
  <si>
    <t>Rate 12/13</t>
  </si>
  <si>
    <t>Salary Year or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</si>
</sst>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color theme="1"/>
      <name val="Calibri"/>
      <family val="2"/>
      <scheme val="minor"/>
    </font>
    <font>
      <sz val="1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1" applyNumberFormat="1" applyFont="1"/>
    <xf numFmtId="0" fontId="0" fillId="2" borderId="0" xfId="0" applyFill="1" applyAlignment="1">
      <alignment horizontal="center"/>
    </xf>
    <xf numFmtId="39" fontId="0" fillId="0" borderId="0" xfId="0" applyNumberFormat="1"/>
    <xf numFmtId="165" fontId="0" fillId="0" borderId="0" xfId="3" applyNumberFormat="1" applyFont="1"/>
    <xf numFmtId="0" fontId="0" fillId="0" borderId="4" xfId="0" applyBorder="1" applyAlignment="1">
      <alignment horizontal="center"/>
    </xf>
    <xf numFmtId="0" fontId="2" fillId="2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166" fontId="0" fillId="0" borderId="0" xfId="2" applyNumberFormat="1" applyFont="1"/>
    <xf numFmtId="164" fontId="0" fillId="0" borderId="6" xfId="1" applyNumberFormat="1" applyFont="1" applyBorder="1"/>
    <xf numFmtId="164" fontId="0" fillId="0" borderId="4" xfId="0" applyNumberFormat="1" applyBorder="1"/>
    <xf numFmtId="164" fontId="0" fillId="0" borderId="0" xfId="1" applyNumberFormat="1" applyFont="1" applyBorder="1"/>
    <xf numFmtId="165" fontId="1" fillId="0" borderId="0" xfId="3" applyNumberFormat="1" applyFont="1" applyBorder="1"/>
    <xf numFmtId="165" fontId="0" fillId="0" borderId="0" xfId="3" applyNumberFormat="1" applyFont="1" applyBorder="1"/>
    <xf numFmtId="165" fontId="1" fillId="0" borderId="4" xfId="3" applyNumberFormat="1" applyFont="1" applyBorder="1"/>
    <xf numFmtId="165" fontId="1" fillId="0" borderId="0" xfId="3" applyNumberFormat="1" applyFont="1" applyBorder="1" applyAlignment="1">
      <alignment horizontal="center"/>
    </xf>
    <xf numFmtId="10" fontId="0" fillId="0" borderId="0" xfId="3" applyNumberFormat="1" applyFont="1" applyAlignment="1">
      <alignment horizontal="center"/>
    </xf>
    <xf numFmtId="10" fontId="0" fillId="0" borderId="4" xfId="3" applyNumberFormat="1" applyFont="1" applyBorder="1" applyAlignment="1">
      <alignment horizontal="center"/>
    </xf>
    <xf numFmtId="43" fontId="0" fillId="0" borderId="0" xfId="0" applyNumberFormat="1"/>
    <xf numFmtId="0" fontId="0" fillId="3" borderId="0" xfId="0" applyFill="1"/>
    <xf numFmtId="164" fontId="0" fillId="0" borderId="6" xfId="0" applyNumberFormat="1" applyBorder="1"/>
    <xf numFmtId="164" fontId="0" fillId="0" borderId="7" xfId="1" applyNumberFormat="1" applyFont="1" applyBorder="1"/>
    <xf numFmtId="37" fontId="0" fillId="0" borderId="5" xfId="0" applyNumberFormat="1" applyBorder="1" applyAlignment="1">
      <alignment horizontal="center"/>
    </xf>
    <xf numFmtId="43" fontId="0" fillId="0" borderId="0" xfId="1" applyFont="1"/>
    <xf numFmtId="164" fontId="0" fillId="0" borderId="5" xfId="1" applyNumberFormat="1" applyFont="1" applyBorder="1"/>
    <xf numFmtId="164" fontId="0" fillId="0" borderId="4" xfId="1" applyNumberFormat="1" applyFont="1" applyBorder="1"/>
    <xf numFmtId="10" fontId="0" fillId="0" borderId="4" xfId="3" applyNumberFormat="1" applyFont="1" applyBorder="1"/>
    <xf numFmtId="0" fontId="3" fillId="0" borderId="8" xfId="0" applyFont="1" applyBorder="1"/>
    <xf numFmtId="0" fontId="3" fillId="0" borderId="9" xfId="0" applyFont="1" applyBorder="1"/>
    <xf numFmtId="0" fontId="4" fillId="4" borderId="10" xfId="0" applyFont="1" applyFill="1" applyBorder="1"/>
    <xf numFmtId="0" fontId="3" fillId="0" borderId="0" xfId="0" applyFont="1"/>
    <xf numFmtId="0" fontId="4" fillId="4" borderId="4" xfId="0" applyFont="1" applyFill="1" applyBorder="1"/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165" fontId="0" fillId="0" borderId="0" xfId="0" applyNumberFormat="1"/>
    <xf numFmtId="0" fontId="2" fillId="0" borderId="0" xfId="4"/>
    <xf numFmtId="0" fontId="2" fillId="0" borderId="0" xfId="4" quotePrefix="1"/>
    <xf numFmtId="165" fontId="0" fillId="5" borderId="0" xfId="3" applyNumberFormat="1" applyFont="1" applyFill="1"/>
    <xf numFmtId="0" fontId="0" fillId="5" borderId="0" xfId="0" applyFill="1"/>
    <xf numFmtId="0" fontId="3" fillId="5" borderId="0" xfId="0" applyFont="1" applyFill="1"/>
    <xf numFmtId="0" fontId="2" fillId="5" borderId="0" xfId="4" applyFill="1"/>
    <xf numFmtId="0" fontId="2" fillId="5" borderId="0" xfId="4" quotePrefix="1" applyFill="1"/>
    <xf numFmtId="0" fontId="4" fillId="0" borderId="0" xfId="0" applyFont="1"/>
    <xf numFmtId="0" fontId="4" fillId="0" borderId="4" xfId="0" applyFont="1" applyBorder="1"/>
    <xf numFmtId="165" fontId="0" fillId="0" borderId="4" xfId="3" applyNumberFormat="1" applyFont="1" applyBorder="1"/>
    <xf numFmtId="0" fontId="1" fillId="0" borderId="0" xfId="4" applyFont="1"/>
    <xf numFmtId="0" fontId="2" fillId="0" borderId="0" xfId="4" applyAlignment="1">
      <alignment wrapText="1"/>
    </xf>
    <xf numFmtId="0" fontId="1" fillId="0" borderId="0" xfId="4" applyFont="1" applyAlignment="1">
      <alignment wrapText="1"/>
    </xf>
    <xf numFmtId="0" fontId="2" fillId="0" borderId="0" xfId="4" applyAlignment="1">
      <alignment horizontal="center" wrapText="1"/>
    </xf>
    <xf numFmtId="0" fontId="1" fillId="0" borderId="0" xfId="4" applyFont="1" applyAlignment="1">
      <alignment horizontal="center" wrapText="1"/>
    </xf>
    <xf numFmtId="165" fontId="0" fillId="0" borderId="0" xfId="3" applyNumberFormat="1" applyFont="1" applyAlignment="1">
      <alignment horizontal="center"/>
    </xf>
    <xf numFmtId="165" fontId="2" fillId="0" borderId="0" xfId="3" applyNumberFormat="1" applyFont="1"/>
    <xf numFmtId="0" fontId="2" fillId="0" borderId="0" xfId="0" applyFont="1" applyAlignment="1">
      <alignment horizontal="right"/>
    </xf>
    <xf numFmtId="0" fontId="6" fillId="0" borderId="0" xfId="5" applyAlignment="1">
      <alignment horizontal="center" wrapText="1"/>
    </xf>
    <xf numFmtId="0" fontId="1" fillId="0" borderId="11" xfId="4" applyFont="1" applyBorder="1"/>
    <xf numFmtId="0" fontId="2" fillId="0" borderId="12" xfId="4" applyBorder="1" applyAlignment="1">
      <alignment horizontal="center" wrapText="1"/>
    </xf>
    <xf numFmtId="0" fontId="2" fillId="0" borderId="12" xfId="4" applyBorder="1" applyAlignment="1">
      <alignment wrapText="1"/>
    </xf>
    <xf numFmtId="0" fontId="2" fillId="0" borderId="13" xfId="4" applyBorder="1"/>
    <xf numFmtId="0" fontId="2" fillId="0" borderId="14" xfId="4" applyBorder="1"/>
    <xf numFmtId="0" fontId="6" fillId="0" borderId="15" xfId="5" applyBorder="1" applyAlignment="1">
      <alignment horizontal="center" wrapText="1"/>
    </xf>
    <xf numFmtId="0" fontId="2" fillId="0" borderId="15" xfId="4" applyBorder="1" applyAlignment="1">
      <alignment wrapText="1"/>
    </xf>
    <xf numFmtId="0" fontId="5" fillId="0" borderId="11" xfId="4" applyFont="1" applyBorder="1"/>
    <xf numFmtId="0" fontId="5" fillId="0" borderId="16" xfId="4" applyFont="1" applyBorder="1"/>
    <xf numFmtId="0" fontId="2" fillId="0" borderId="17" xfId="4" applyBorder="1" applyAlignment="1">
      <alignment horizontal="center" wrapText="1"/>
    </xf>
    <xf numFmtId="0" fontId="2" fillId="0" borderId="17" xfId="4" applyBorder="1" applyAlignment="1">
      <alignment wrapText="1"/>
    </xf>
    <xf numFmtId="0" fontId="1" fillId="0" borderId="16" xfId="4" applyFont="1" applyBorder="1"/>
    <xf numFmtId="165" fontId="1" fillId="0" borderId="20" xfId="3" applyNumberFormat="1" applyFont="1" applyBorder="1" applyAlignment="1">
      <alignment horizontal="center"/>
    </xf>
    <xf numFmtId="165" fontId="0" fillId="0" borderId="20" xfId="3" applyNumberFormat="1" applyFont="1" applyBorder="1" applyAlignment="1">
      <alignment horizontal="center"/>
    </xf>
    <xf numFmtId="165" fontId="0" fillId="0" borderId="21" xfId="3" applyNumberFormat="1" applyFont="1" applyBorder="1" applyAlignment="1">
      <alignment horizontal="center"/>
    </xf>
    <xf numFmtId="165" fontId="0" fillId="0" borderId="22" xfId="3" applyNumberFormat="1" applyFont="1" applyBorder="1" applyAlignment="1">
      <alignment horizontal="center"/>
    </xf>
    <xf numFmtId="165" fontId="0" fillId="0" borderId="19" xfId="3" applyNumberFormat="1" applyFont="1" applyBorder="1" applyAlignment="1">
      <alignment horizontal="center"/>
    </xf>
    <xf numFmtId="165" fontId="1" fillId="0" borderId="16" xfId="3" applyNumberFormat="1" applyFont="1" applyBorder="1" applyAlignment="1">
      <alignment horizontal="centerContinuous"/>
    </xf>
    <xf numFmtId="165" fontId="1" fillId="0" borderId="17" xfId="3" applyNumberFormat="1" applyFont="1" applyBorder="1" applyAlignment="1">
      <alignment horizontal="centerContinuous"/>
    </xf>
    <xf numFmtId="165" fontId="1" fillId="0" borderId="18" xfId="3" applyNumberFormat="1" applyFont="1" applyFill="1" applyBorder="1" applyAlignment="1">
      <alignment horizontal="centerContinuous"/>
    </xf>
    <xf numFmtId="165" fontId="1" fillId="0" borderId="20" xfId="3" applyNumberFormat="1" applyFont="1" applyFill="1" applyBorder="1" applyAlignment="1">
      <alignment horizontal="center"/>
    </xf>
    <xf numFmtId="165" fontId="0" fillId="0" borderId="20" xfId="3" applyNumberFormat="1" applyFont="1" applyFill="1" applyBorder="1" applyAlignment="1">
      <alignment horizontal="center"/>
    </xf>
    <xf numFmtId="165" fontId="0" fillId="0" borderId="21" xfId="3" applyNumberFormat="1" applyFont="1" applyFill="1" applyBorder="1" applyAlignment="1">
      <alignment horizontal="center"/>
    </xf>
    <xf numFmtId="165" fontId="0" fillId="0" borderId="22" xfId="3" applyNumberFormat="1" applyFont="1" applyFill="1" applyBorder="1" applyAlignment="1">
      <alignment horizontal="center"/>
    </xf>
    <xf numFmtId="165" fontId="0" fillId="0" borderId="19" xfId="3" applyNumberFormat="1" applyFont="1" applyFill="1" applyBorder="1" applyAlignment="1">
      <alignment horizontal="center"/>
    </xf>
    <xf numFmtId="165" fontId="0" fillId="0" borderId="0" xfId="3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4" xr:uid="{DB1E081C-5FA1-4257-BFE8-6B9E612FBBDB}"/>
    <cellStyle name="Normal 2 2" xfId="5" xr:uid="{73F95944-7806-41C3-9949-52BF2185C3F6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19C0-484A-4F59-B6FB-E59C11298765}">
  <dimension ref="A1:C28"/>
  <sheetViews>
    <sheetView workbookViewId="0">
      <selection activeCell="C20" sqref="C20"/>
    </sheetView>
  </sheetViews>
  <sheetFormatPr defaultRowHeight="12.75"/>
  <cols>
    <col min="1" max="1" width="21.85546875" bestFit="1" customWidth="1"/>
    <col min="2" max="2" width="11.28515625" style="6" bestFit="1" customWidth="1"/>
  </cols>
  <sheetData>
    <row r="1" spans="1:2">
      <c r="A1" s="1" t="s">
        <v>94</v>
      </c>
    </row>
    <row r="2" spans="1:2">
      <c r="A2" t="s">
        <v>17</v>
      </c>
      <c r="B2" s="6">
        <v>0.27100000000000002</v>
      </c>
    </row>
    <row r="3" spans="1:2">
      <c r="A3" t="s">
        <v>95</v>
      </c>
      <c r="B3" s="6">
        <v>0.35399999999999998</v>
      </c>
    </row>
    <row r="4" spans="1:2">
      <c r="A4" t="s">
        <v>22</v>
      </c>
      <c r="B4" s="6">
        <v>0.159</v>
      </c>
    </row>
    <row r="5" spans="1:2">
      <c r="A5" t="s">
        <v>24</v>
      </c>
      <c r="B5" s="6">
        <v>4.0000000000000001E-3</v>
      </c>
    </row>
    <row r="6" spans="1:2">
      <c r="A6" t="s">
        <v>28</v>
      </c>
      <c r="B6" s="6">
        <v>0.115</v>
      </c>
    </row>
    <row r="8" spans="1:2">
      <c r="A8" s="1" t="s">
        <v>96</v>
      </c>
    </row>
    <row r="9" spans="1:2">
      <c r="A9" t="s">
        <v>17</v>
      </c>
      <c r="B9" s="6">
        <v>0.35699999999999998</v>
      </c>
    </row>
    <row r="10" spans="1:2">
      <c r="A10" t="s">
        <v>95</v>
      </c>
      <c r="B10" s="6">
        <v>0.34300000000000003</v>
      </c>
    </row>
    <row r="11" spans="1:2">
      <c r="A11" t="s">
        <v>22</v>
      </c>
      <c r="B11" s="6">
        <v>0.161</v>
      </c>
    </row>
    <row r="12" spans="1:2">
      <c r="A12" t="s">
        <v>24</v>
      </c>
      <c r="B12" s="6">
        <v>6.0000000000000001E-3</v>
      </c>
    </row>
    <row r="13" spans="1:2">
      <c r="A13" t="s">
        <v>28</v>
      </c>
      <c r="B13" s="6">
        <v>0.11799999999999999</v>
      </c>
    </row>
    <row r="15" spans="1:2">
      <c r="A15" s="1" t="s">
        <v>97</v>
      </c>
    </row>
    <row r="16" spans="1:2">
      <c r="A16" t="s">
        <v>17</v>
      </c>
      <c r="B16" s="6">
        <v>0.27800000000000002</v>
      </c>
    </row>
    <row r="17" spans="1:3">
      <c r="A17" t="s">
        <v>95</v>
      </c>
      <c r="B17" s="6">
        <v>0.38</v>
      </c>
    </row>
    <row r="18" spans="1:3">
      <c r="A18" t="s">
        <v>22</v>
      </c>
      <c r="B18" s="6">
        <v>0.156</v>
      </c>
    </row>
    <row r="19" spans="1:3">
      <c r="A19" t="s">
        <v>24</v>
      </c>
      <c r="B19" s="6">
        <v>0.112</v>
      </c>
    </row>
    <row r="21" spans="1:3">
      <c r="A21" s="1" t="s">
        <v>98</v>
      </c>
    </row>
    <row r="22" spans="1:3">
      <c r="A22" t="s">
        <v>99</v>
      </c>
      <c r="B22" s="6">
        <v>0.14399999999999999</v>
      </c>
    </row>
    <row r="23" spans="1:3">
      <c r="A23" t="s">
        <v>100</v>
      </c>
      <c r="B23" s="6">
        <v>0.19400000000000001</v>
      </c>
    </row>
    <row r="24" spans="1:3">
      <c r="A24" t="s">
        <v>102</v>
      </c>
      <c r="B24" s="6">
        <v>0.184</v>
      </c>
    </row>
    <row r="25" spans="1:3">
      <c r="A25" t="s">
        <v>101</v>
      </c>
      <c r="B25" s="6">
        <v>0.23799999999999999</v>
      </c>
    </row>
    <row r="27" spans="1:3">
      <c r="A27" s="1" t="s">
        <v>235</v>
      </c>
      <c r="B27" s="60" t="s">
        <v>258</v>
      </c>
      <c r="C27" s="61" t="s">
        <v>97</v>
      </c>
    </row>
    <row r="28" spans="1:3">
      <c r="B28" s="6">
        <v>0.18</v>
      </c>
      <c r="C28" s="6">
        <v>0.156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27037-887D-45DE-9EDD-76F52A879AC0}">
  <dimension ref="A1:R2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1" sqref="B31"/>
    </sheetView>
  </sheetViews>
  <sheetFormatPr defaultRowHeight="12.75"/>
  <cols>
    <col min="1" max="1" width="23.140625" bestFit="1" customWidth="1"/>
    <col min="2" max="6" width="10.7109375" customWidth="1"/>
    <col min="7" max="7" width="3.5703125" customWidth="1"/>
    <col min="8" max="12" width="10.7109375" customWidth="1"/>
    <col min="13" max="13" width="3.140625" customWidth="1"/>
    <col min="14" max="14" width="23.140625" bestFit="1" customWidth="1"/>
    <col min="15" max="18" width="10.7109375" customWidth="1"/>
  </cols>
  <sheetData>
    <row r="1" spans="1:18">
      <c r="O1" t="s">
        <v>98</v>
      </c>
    </row>
    <row r="2" spans="1:18">
      <c r="B2" s="42" t="s">
        <v>125</v>
      </c>
      <c r="C2" s="41"/>
      <c r="D2" s="41"/>
      <c r="E2" s="41"/>
      <c r="F2" s="41"/>
      <c r="H2" s="42" t="s">
        <v>33</v>
      </c>
      <c r="I2" s="41"/>
      <c r="J2" s="41"/>
      <c r="K2" s="41"/>
      <c r="L2" s="41"/>
      <c r="O2" s="42"/>
      <c r="P2" s="42"/>
      <c r="Q2" s="2" t="s">
        <v>154</v>
      </c>
      <c r="R2" s="42"/>
    </row>
    <row r="3" spans="1:18">
      <c r="B3" s="2" t="s">
        <v>9</v>
      </c>
      <c r="C3" s="2" t="s">
        <v>122</v>
      </c>
      <c r="D3" s="2" t="s">
        <v>11</v>
      </c>
      <c r="E3" s="2" t="s">
        <v>123</v>
      </c>
      <c r="F3" s="2" t="s">
        <v>124</v>
      </c>
      <c r="H3" s="2" t="s">
        <v>9</v>
      </c>
      <c r="I3" s="2" t="s">
        <v>122</v>
      </c>
      <c r="J3" s="2" t="s">
        <v>11</v>
      </c>
      <c r="K3" s="2" t="s">
        <v>123</v>
      </c>
      <c r="L3" s="2" t="s">
        <v>124</v>
      </c>
      <c r="O3" s="2"/>
      <c r="P3" s="2"/>
      <c r="Q3" s="2" t="s">
        <v>155</v>
      </c>
      <c r="R3" s="2"/>
    </row>
    <row r="4" spans="1:18">
      <c r="B4" s="2" t="s">
        <v>17</v>
      </c>
      <c r="C4" s="2" t="s">
        <v>95</v>
      </c>
      <c r="D4" s="2" t="s">
        <v>22</v>
      </c>
      <c r="E4" s="2" t="s">
        <v>24</v>
      </c>
      <c r="F4" s="2" t="s">
        <v>28</v>
      </c>
      <c r="H4" s="2" t="s">
        <v>17</v>
      </c>
      <c r="I4" s="2" t="s">
        <v>95</v>
      </c>
      <c r="J4" s="2" t="s">
        <v>22</v>
      </c>
      <c r="K4" s="2" t="s">
        <v>24</v>
      </c>
      <c r="L4" s="2" t="s">
        <v>28</v>
      </c>
      <c r="O4" s="2" t="s">
        <v>99</v>
      </c>
      <c r="P4" s="2" t="s">
        <v>100</v>
      </c>
      <c r="Q4" s="2" t="s">
        <v>156</v>
      </c>
      <c r="R4" s="2" t="s">
        <v>101</v>
      </c>
    </row>
    <row r="5" spans="1:18">
      <c r="A5" s="36" t="s">
        <v>40</v>
      </c>
      <c r="B5" s="6">
        <f>ROUND((fy23_summary_bnft_projection!D89/fy23_summary_bnft_projection!$D$43),3)</f>
        <v>0.14099999999999999</v>
      </c>
      <c r="C5" s="6">
        <f>ROUND((fy23_summary_bnft_projection!E89/fy23_summary_bnft_projection!$F$43),3)</f>
        <v>0</v>
      </c>
      <c r="D5" s="6">
        <f>ROUND((fy23_summary_bnft_projection!F89/fy23_summary_bnft_projection!$K$43),3)</f>
        <v>0.14099999999999999</v>
      </c>
      <c r="E5" s="6">
        <f>ROUND((fy23_summary_bnft_projection!G89/fy23_summary_bnft_projection!$M$43),3)</f>
        <v>0</v>
      </c>
      <c r="F5" s="6">
        <f>ROUND((fy23_summary_bnft_projection!H89/fy23_summary_bnft_projection!$Q$43),3)</f>
        <v>0</v>
      </c>
      <c r="H5" s="6">
        <f>ROUND((fy23_summary_bnft_projection!E18/fy23_summary_bnft_projection!$E$13),3)</f>
        <v>0.14099999999999999</v>
      </c>
      <c r="I5" s="6">
        <f>ROUND((fy23_summary_bnft_projection!G18/fy23_summary_bnft_projection!$G$13),3)</f>
        <v>0</v>
      </c>
      <c r="J5" s="6">
        <f>ROUND((fy23_summary_bnft_projection!L18/fy23_summary_bnft_projection!$L$13),3)</f>
        <v>0.14099999999999999</v>
      </c>
      <c r="K5" s="6">
        <f>ROUND((fy23_summary_bnft_projection!N18/fy23_summary_bnft_projection!$N$13),3)</f>
        <v>0</v>
      </c>
      <c r="L5" s="6">
        <f>ROUND((fy23_summary_bnft_projection!R18/fy23_summary_bnft_projection!$R$13),3)</f>
        <v>0</v>
      </c>
      <c r="N5" s="36" t="s">
        <v>40</v>
      </c>
      <c r="O5" s="6">
        <v>0.1</v>
      </c>
      <c r="P5" s="6">
        <v>0.15</v>
      </c>
      <c r="Q5" s="6">
        <v>0</v>
      </c>
      <c r="R5" s="6">
        <v>0.19400000000000001</v>
      </c>
    </row>
    <row r="6" spans="1:18">
      <c r="A6" s="37" t="s">
        <v>42</v>
      </c>
      <c r="B6" s="6">
        <f>ROUND((fy23_summary_bnft_projection!D90/fy23_summary_bnft_projection!$D$43),3)</f>
        <v>0</v>
      </c>
      <c r="C6" s="6">
        <f>ROUND((fy23_summary_bnft_projection!E90/fy23_summary_bnft_projection!$F$43),3)</f>
        <v>0.14000000000000001</v>
      </c>
      <c r="D6" s="6">
        <f>ROUND((fy23_summary_bnft_projection!F90/fy23_summary_bnft_projection!$K$43),3)</f>
        <v>0</v>
      </c>
      <c r="E6" s="6">
        <f>ROUND((fy23_summary_bnft_projection!G90/fy23_summary_bnft_projection!$M$43),3)</f>
        <v>0</v>
      </c>
      <c r="F6" s="6">
        <f>ROUND((fy23_summary_bnft_projection!H90/fy23_summary_bnft_projection!$Q$43),3)</f>
        <v>0</v>
      </c>
      <c r="H6" s="6">
        <f>ROUND((fy23_summary_bnft_projection!E19/fy23_summary_bnft_projection!$E$13),3)</f>
        <v>0</v>
      </c>
      <c r="I6" s="6">
        <f>ROUND((fy23_summary_bnft_projection!G19/fy23_summary_bnft_projection!$G$13),3)</f>
        <v>0.14099999999999999</v>
      </c>
      <c r="J6" s="6">
        <f>ROUND((fy23_summary_bnft_projection!L19/fy23_summary_bnft_projection!$L$13),3)</f>
        <v>0</v>
      </c>
      <c r="K6" s="6">
        <f>ROUND((fy23_summary_bnft_projection!N19/fy23_summary_bnft_projection!$N$13),3)</f>
        <v>0</v>
      </c>
      <c r="L6" s="6">
        <f>ROUND((fy23_summary_bnft_projection!R19/fy23_summary_bnft_projection!$R$13),3)</f>
        <v>0</v>
      </c>
      <c r="N6" s="37" t="s">
        <v>154</v>
      </c>
      <c r="O6" s="6">
        <v>0</v>
      </c>
      <c r="P6" s="6">
        <v>0</v>
      </c>
      <c r="Q6" s="6">
        <v>0.14000000000000001</v>
      </c>
      <c r="R6" s="6">
        <v>0</v>
      </c>
    </row>
    <row r="7" spans="1:18">
      <c r="A7" s="37" t="s">
        <v>103</v>
      </c>
      <c r="B7" s="6">
        <f>ROUND((fy23_summary_bnft_projection!D91/fy23_summary_bnft_projection!$D$43),3)</f>
        <v>1.4E-2</v>
      </c>
      <c r="C7" s="6">
        <f>ROUND((fy23_summary_bnft_projection!E91/fy23_summary_bnft_projection!$F$43),3)</f>
        <v>1.4E-2</v>
      </c>
      <c r="D7" s="6">
        <f>ROUND((fy23_summary_bnft_projection!F91/fy23_summary_bnft_projection!$K$43),3)</f>
        <v>1.4E-2</v>
      </c>
      <c r="E7" s="6">
        <f>ROUND((fy23_summary_bnft_projection!G91/fy23_summary_bnft_projection!$M$43),3)</f>
        <v>0</v>
      </c>
      <c r="F7" s="6">
        <f>ROUND((fy23_summary_bnft_projection!H91/fy23_summary_bnft_projection!$Q$43),3)</f>
        <v>0</v>
      </c>
      <c r="H7" s="6">
        <f>ROUND((fy23_summary_bnft_projection!E20/fy23_summary_bnft_projection!$E$13),3)</f>
        <v>1.4E-2</v>
      </c>
      <c r="I7" s="6">
        <f>ROUND((fy23_summary_bnft_projection!G20/fy23_summary_bnft_projection!$G$13),3)</f>
        <v>1.4E-2</v>
      </c>
      <c r="J7" s="6">
        <f>ROUND((fy23_summary_bnft_projection!L20/fy23_summary_bnft_projection!$L$13),3)</f>
        <v>1.4E-2</v>
      </c>
      <c r="K7" s="6">
        <f>ROUND((fy23_summary_bnft_projection!N20/fy23_summary_bnft_projection!$N$13),3)</f>
        <v>0</v>
      </c>
      <c r="L7" s="6">
        <f>ROUND((fy23_summary_bnft_projection!R20/fy23_summary_bnft_projection!$R$13),3)</f>
        <v>0</v>
      </c>
      <c r="N7" s="37" t="s">
        <v>103</v>
      </c>
      <c r="O7" s="6">
        <v>1.2999999999999999E-2</v>
      </c>
      <c r="P7" s="6">
        <v>1.2999999999999999E-2</v>
      </c>
      <c r="Q7" s="6">
        <v>1.2999999999999999E-2</v>
      </c>
      <c r="R7" s="6">
        <v>1.2999999999999999E-2</v>
      </c>
    </row>
    <row r="8" spans="1:18">
      <c r="A8" s="46" t="s">
        <v>104</v>
      </c>
      <c r="B8" s="46">
        <f>ROUND(0.887*$B$13,3)</f>
        <v>8.1000000000000003E-2</v>
      </c>
      <c r="C8" s="46">
        <f>ROUND(0.887*$C$13,3)</f>
        <v>0.14399999999999999</v>
      </c>
      <c r="D8" s="46">
        <f>ROUND(0.891*$D$13,3)</f>
        <v>0</v>
      </c>
      <c r="E8" s="46">
        <f>ROUND(0.891*$E$13,3)</f>
        <v>0</v>
      </c>
      <c r="F8" s="46">
        <f>ROUND(0.891*$F$13,3)</f>
        <v>0</v>
      </c>
      <c r="G8" s="47"/>
      <c r="H8" s="46">
        <f>ROUND(0.887*$H13,3)</f>
        <v>0.14299999999999999</v>
      </c>
      <c r="I8" s="46">
        <f>ROUND(0.887*$I$13,3)</f>
        <v>0.13200000000000001</v>
      </c>
      <c r="J8" s="46">
        <v>0</v>
      </c>
      <c r="K8" s="46">
        <v>0</v>
      </c>
      <c r="L8" s="46">
        <v>0</v>
      </c>
      <c r="N8" s="46" t="s">
        <v>104</v>
      </c>
      <c r="O8" s="46">
        <v>1.0999999999999999E-2</v>
      </c>
      <c r="P8" s="46">
        <v>1.0999999999999999E-2</v>
      </c>
      <c r="Q8" s="46">
        <v>1.0999999999999999E-2</v>
      </c>
      <c r="R8" s="46">
        <v>1.0999999999999999E-2</v>
      </c>
    </row>
    <row r="9" spans="1:18">
      <c r="A9" s="46" t="s">
        <v>105</v>
      </c>
      <c r="B9" s="46">
        <f>ROUND(0.092*$B$13,3)</f>
        <v>8.0000000000000002E-3</v>
      </c>
      <c r="C9" s="46">
        <f>ROUND(0.092*$C$13,3)</f>
        <v>1.4999999999999999E-2</v>
      </c>
      <c r="D9" s="46">
        <f>ROUND(0.092*$D$13,3)</f>
        <v>0</v>
      </c>
      <c r="E9" s="46">
        <f>ROUND(0.092*$E$13,3)</f>
        <v>0</v>
      </c>
      <c r="F9" s="46">
        <f>ROUND(0.092*$F$13,3)</f>
        <v>0</v>
      </c>
      <c r="G9" s="47"/>
      <c r="H9" s="46">
        <f>ROUND(0.092*$H$13,3)</f>
        <v>1.4999999999999999E-2</v>
      </c>
      <c r="I9" s="46">
        <f>ROUND(0.092*$I$13,3)</f>
        <v>1.4E-2</v>
      </c>
      <c r="J9" s="46">
        <v>0</v>
      </c>
      <c r="K9" s="46">
        <v>0</v>
      </c>
      <c r="L9" s="46">
        <v>0</v>
      </c>
      <c r="N9" s="46" t="s">
        <v>105</v>
      </c>
      <c r="O9" s="46">
        <v>4.0000000000000001E-3</v>
      </c>
      <c r="P9" s="46">
        <v>4.0000000000000001E-3</v>
      </c>
      <c r="Q9" s="46">
        <v>4.0000000000000001E-3</v>
      </c>
      <c r="R9" s="46">
        <v>4.0000000000000001E-3</v>
      </c>
    </row>
    <row r="10" spans="1:18">
      <c r="A10" s="46" t="s">
        <v>106</v>
      </c>
      <c r="B10" s="46">
        <f>ROUND(0.009*$B$13,3)</f>
        <v>1E-3</v>
      </c>
      <c r="C10" s="46">
        <f>ROUND(0.009*$C$13,3)</f>
        <v>1E-3</v>
      </c>
      <c r="D10" s="46">
        <f>ROUND(0.009*$D$13,3)</f>
        <v>0</v>
      </c>
      <c r="E10" s="46">
        <f>ROUND(0.009*$E$13,3)</f>
        <v>0</v>
      </c>
      <c r="F10" s="46">
        <f>ROUND(0.009*$F$13,3)</f>
        <v>0</v>
      </c>
      <c r="G10" s="47"/>
      <c r="H10" s="46">
        <f>ROUND(0.009*$H$13,3)</f>
        <v>1E-3</v>
      </c>
      <c r="I10" s="46">
        <f>ROUND(0.009*$I$13,3)</f>
        <v>1E-3</v>
      </c>
      <c r="J10" s="46">
        <v>0</v>
      </c>
      <c r="K10" s="46">
        <v>0</v>
      </c>
      <c r="L10" s="46">
        <v>0</v>
      </c>
      <c r="N10" s="46" t="s">
        <v>106</v>
      </c>
      <c r="O10" s="46">
        <v>1E-3</v>
      </c>
      <c r="P10" s="46">
        <v>1E-3</v>
      </c>
      <c r="Q10" s="46">
        <v>1E-3</v>
      </c>
      <c r="R10" s="46">
        <v>1E-3</v>
      </c>
    </row>
    <row r="11" spans="1:18">
      <c r="A11" s="46" t="s">
        <v>107</v>
      </c>
      <c r="B11" s="46">
        <f>ROUND(0.012*$B$13,3)</f>
        <v>1E-3</v>
      </c>
      <c r="C11" s="46">
        <f>ROUND(0.012*$C$13,3)</f>
        <v>2E-3</v>
      </c>
      <c r="D11" s="46">
        <f>ROUND(0.008*$D$13,3)</f>
        <v>0</v>
      </c>
      <c r="E11" s="46">
        <f>ROUND(0.008*$E$13,3)</f>
        <v>0</v>
      </c>
      <c r="F11" s="46">
        <f>ROUND(0.008*$F$13,3)</f>
        <v>0</v>
      </c>
      <c r="G11" s="47"/>
      <c r="H11" s="46">
        <f>ROUND(0.012*$H$13,3)</f>
        <v>2E-3</v>
      </c>
      <c r="I11" s="46">
        <f>ROUND(0.012*$I$13,3)</f>
        <v>2E-3</v>
      </c>
      <c r="J11" s="46">
        <v>0</v>
      </c>
      <c r="K11" s="46">
        <v>0</v>
      </c>
      <c r="L11" s="46">
        <v>0</v>
      </c>
      <c r="N11" s="46" t="s">
        <v>107</v>
      </c>
      <c r="O11" s="46">
        <v>0</v>
      </c>
      <c r="P11" s="46">
        <v>0</v>
      </c>
      <c r="Q11" s="46">
        <v>0</v>
      </c>
      <c r="R11" s="46">
        <v>0</v>
      </c>
    </row>
    <row r="12" spans="1:18">
      <c r="A12" s="46" t="s">
        <v>108</v>
      </c>
      <c r="B12" s="46">
        <f>SUM(B8:B11)</f>
        <v>9.0999999999999998E-2</v>
      </c>
      <c r="C12" s="46">
        <f t="shared" ref="C12:F12" si="0">SUM(C8:C11)</f>
        <v>0.16199999999999998</v>
      </c>
      <c r="D12" s="46">
        <f t="shared" si="0"/>
        <v>0</v>
      </c>
      <c r="E12" s="46">
        <f t="shared" si="0"/>
        <v>0</v>
      </c>
      <c r="F12" s="46">
        <f t="shared" si="0"/>
        <v>0</v>
      </c>
      <c r="G12" s="47"/>
      <c r="H12" s="46">
        <f>SUM(H8:H11)</f>
        <v>0.16099999999999998</v>
      </c>
      <c r="I12" s="46">
        <f t="shared" ref="I12:J12" si="1">SUM(I8:I11)</f>
        <v>0.14900000000000002</v>
      </c>
      <c r="J12" s="46">
        <f t="shared" si="1"/>
        <v>0</v>
      </c>
      <c r="K12" s="46">
        <f t="shared" ref="K12" si="2">SUM(K8:K11)</f>
        <v>0</v>
      </c>
      <c r="L12" s="46">
        <f t="shared" ref="L12" si="3">SUM(L8:L11)</f>
        <v>0</v>
      </c>
      <c r="N12" s="46" t="s">
        <v>108</v>
      </c>
      <c r="O12" s="46">
        <f>SUM(O8:O11)</f>
        <v>1.6E-2</v>
      </c>
      <c r="P12" s="46">
        <v>1.6E-2</v>
      </c>
      <c r="Q12" s="46">
        <f t="shared" ref="Q12:R12" si="4">SUM(Q8:Q11)</f>
        <v>1.6E-2</v>
      </c>
      <c r="R12" s="46">
        <f t="shared" si="4"/>
        <v>1.6E-2</v>
      </c>
    </row>
    <row r="13" spans="1:18">
      <c r="A13" s="37" t="s">
        <v>109</v>
      </c>
      <c r="B13" s="6">
        <f>ROUND(((fy23_summary_bnft_projection!D99+fy23_summary_bnft_projection!D100)/fy23_summary_bnft_projection!$D$43),3)-0.002</f>
        <v>9.0999999999999998E-2</v>
      </c>
      <c r="C13" s="6">
        <f>ROUND(((fy23_summary_bnft_projection!E99+fy23_summary_bnft_projection!E100)/fy23_summary_bnft_projection!$F$43),3)-0.001</f>
        <v>0.16200000000000001</v>
      </c>
      <c r="D13" s="6">
        <f>ROUND(((fy23_summary_bnft_projection!F99+fy23_summary_bnft_projection!F100)/fy23_summary_bnft_projection!$K$43),3)</f>
        <v>0</v>
      </c>
      <c r="E13" s="6">
        <f>ROUND(((fy23_summary_bnft_projection!G99+fy23_summary_bnft_projection!G100)/fy23_summary_bnft_projection!$M$43),3)</f>
        <v>0</v>
      </c>
      <c r="F13" s="6">
        <f>ROUND(((fy23_summary_bnft_projection!H99+fy23_summary_bnft_projection!H100)/fy23_summary_bnft_projection!$Q$43),3)</f>
        <v>0</v>
      </c>
      <c r="H13" s="6">
        <f>ROUND(((fy23_summary_bnft_projection!E28+fy23_summary_bnft_projection!E29)/fy23_summary_bnft_projection!$E$13),3)-0.003</f>
        <v>0.161</v>
      </c>
      <c r="I13" s="6">
        <f>ROUND(((fy23_summary_bnft_projection!G28+fy23_summary_bnft_projection!G29)/fy23_summary_bnft_projection!$G$13),3)-0.003</f>
        <v>0.14899999999999999</v>
      </c>
      <c r="J13" s="6">
        <f>ROUND(((fy23_summary_bnft_projection!L28+fy23_summary_bnft_projection!L29)/fy23_summary_bnft_projection!$L$13),3)</f>
        <v>0</v>
      </c>
      <c r="K13" s="6">
        <v>0</v>
      </c>
      <c r="L13" s="6">
        <v>0</v>
      </c>
      <c r="N13" s="37" t="s">
        <v>109</v>
      </c>
      <c r="O13" s="6">
        <v>1.6E-2</v>
      </c>
      <c r="P13" s="6">
        <v>1.6E-2</v>
      </c>
      <c r="Q13" s="6">
        <v>1.6E-2</v>
      </c>
      <c r="R13" s="6">
        <v>1.6E-2</v>
      </c>
    </row>
    <row r="14" spans="1:18">
      <c r="A14" s="37" t="s">
        <v>110</v>
      </c>
      <c r="B14" s="6">
        <f>ROUND((fy23_summary_bnft_projection!D97/fy23_summary_bnft_projection!$D$43),3)</f>
        <v>2E-3</v>
      </c>
      <c r="C14" s="6">
        <f>ROUND((fy23_summary_bnft_projection!E97/fy23_summary_bnft_projection!$F$43),3)</f>
        <v>2E-3</v>
      </c>
      <c r="D14" s="6">
        <f>ROUND((fy23_summary_bnft_projection!F97/fy23_summary_bnft_projection!$K$43),3)-0.001</f>
        <v>1E-3</v>
      </c>
      <c r="E14" s="6">
        <f>ROUND((fy23_summary_bnft_projection!G97/fy23_summary_bnft_projection!$M$43),3)</f>
        <v>2E-3</v>
      </c>
      <c r="F14" s="6">
        <f>ROUND((fy23_summary_bnft_projection!H97/fy23_summary_bnft_projection!$Q$43),3)-0.001</f>
        <v>1E-3</v>
      </c>
      <c r="H14" s="6">
        <f>ROUND((fy23_summary_bnft_projection!E26/fy23_summary_bnft_projection!$E$13),3)</f>
        <v>2E-3</v>
      </c>
      <c r="I14" s="6">
        <f>ROUND((fy23_summary_bnft_projection!G26/fy23_summary_bnft_projection!$G$13),3)</f>
        <v>2E-3</v>
      </c>
      <c r="J14" s="6">
        <f>ROUND((fy23_summary_bnft_projection!L26/fy23_summary_bnft_projection!$L$13),3)</f>
        <v>2E-3</v>
      </c>
      <c r="K14" s="6">
        <f>ROUND((fy23_summary_bnft_projection!N26/fy23_summary_bnft_projection!$N$13),3)</f>
        <v>2E-3</v>
      </c>
      <c r="L14" s="6">
        <f>ROUND((fy23_summary_bnft_projection!R26/fy23_summary_bnft_projection!$R$13),3)</f>
        <v>2E-3</v>
      </c>
      <c r="N14" s="37" t="s">
        <v>110</v>
      </c>
      <c r="O14" s="6">
        <v>2E-3</v>
      </c>
      <c r="P14" s="6">
        <v>2E-3</v>
      </c>
      <c r="Q14" s="6">
        <v>2E-3</v>
      </c>
      <c r="R14" s="6">
        <v>2E-3</v>
      </c>
    </row>
    <row r="15" spans="1:18">
      <c r="A15" s="37" t="s">
        <v>111</v>
      </c>
      <c r="B15" s="6">
        <f>ROUND((fy23_summary_bnft_projection!D92/fy23_summary_bnft_projection!$D$43),3)</f>
        <v>2E-3</v>
      </c>
      <c r="C15" s="6">
        <f>ROUND((fy23_summary_bnft_projection!E92/fy23_summary_bnft_projection!$F$43),3)</f>
        <v>2E-3</v>
      </c>
      <c r="D15" s="6">
        <f>ROUND((fy23_summary_bnft_projection!F92/fy23_summary_bnft_projection!$K$43),3)</f>
        <v>0</v>
      </c>
      <c r="E15" s="6">
        <f>ROUND((fy23_summary_bnft_projection!G92/fy23_summary_bnft_projection!$M$43),3)</f>
        <v>0</v>
      </c>
      <c r="F15" s="6">
        <f>ROUND((fy23_summary_bnft_projection!H92/fy23_summary_bnft_projection!$Q$43),3)</f>
        <v>0</v>
      </c>
      <c r="H15" s="6">
        <f>ROUND((fy23_summary_bnft_projection!E21/fy23_summary_bnft_projection!$E$13),3)</f>
        <v>2E-3</v>
      </c>
      <c r="I15" s="6">
        <f>ROUND((fy23_summary_bnft_projection!G21/fy23_summary_bnft_projection!$G$13),3)</f>
        <v>2E-3</v>
      </c>
      <c r="J15" s="6">
        <f>ROUND((fy23_summary_bnft_projection!L21/fy23_summary_bnft_projection!$L$13),3)</f>
        <v>0</v>
      </c>
      <c r="K15" s="6">
        <f>ROUND((fy23_summary_bnft_projection!N21/fy23_summary_bnft_projection!$N$13),3)</f>
        <v>0</v>
      </c>
      <c r="L15" s="6">
        <f>ROUND((fy23_summary_bnft_projection!R21/fy23_summary_bnft_projection!$R$13),3)</f>
        <v>0</v>
      </c>
      <c r="N15" s="37" t="s">
        <v>111</v>
      </c>
      <c r="O15" s="6">
        <v>2E-3</v>
      </c>
      <c r="P15" s="6">
        <v>2E-3</v>
      </c>
      <c r="Q15" s="6">
        <v>2E-3</v>
      </c>
      <c r="R15" s="6">
        <v>2E-3</v>
      </c>
    </row>
    <row r="16" spans="1:18">
      <c r="A16" s="37" t="s">
        <v>112</v>
      </c>
      <c r="B16" s="6">
        <f>ROUND((fy23_summary_bnft_projection!D93/fy23_summary_bnft_projection!$D$43),3)</f>
        <v>2E-3</v>
      </c>
      <c r="C16" s="6">
        <f>ROUND((fy23_summary_bnft_projection!E93/fy23_summary_bnft_projection!$F$43),3)</f>
        <v>2E-3</v>
      </c>
      <c r="D16" s="6">
        <f>ROUND((fy23_summary_bnft_projection!F93/fy23_summary_bnft_projection!$K$43),3)</f>
        <v>0</v>
      </c>
      <c r="E16" s="6">
        <f>ROUND((fy23_summary_bnft_projection!G93/fy23_summary_bnft_projection!$M$43),3)</f>
        <v>0</v>
      </c>
      <c r="F16" s="6">
        <f>ROUND((fy23_summary_bnft_projection!H93/fy23_summary_bnft_projection!$Q$43),3)</f>
        <v>0</v>
      </c>
      <c r="H16" s="6">
        <f>ROUND((fy23_summary_bnft_projection!E22/fy23_summary_bnft_projection!$E$13),3)</f>
        <v>2E-3</v>
      </c>
      <c r="I16" s="6">
        <f>ROUND((fy23_summary_bnft_projection!G22/fy23_summary_bnft_projection!$G$13),3)</f>
        <v>2E-3</v>
      </c>
      <c r="J16" s="6">
        <f>ROUND((fy23_summary_bnft_projection!L22/fy23_summary_bnft_projection!$L$13),3)</f>
        <v>0</v>
      </c>
      <c r="K16" s="6">
        <f>ROUND((fy23_summary_bnft_projection!N22/fy23_summary_bnft_projection!$N$13),3)</f>
        <v>0</v>
      </c>
      <c r="L16" s="6">
        <f>ROUND((fy23_summary_bnft_projection!R22/fy23_summary_bnft_projection!$R$13),3)</f>
        <v>0</v>
      </c>
      <c r="N16" s="37" t="s">
        <v>112</v>
      </c>
      <c r="O16" s="6">
        <v>3.0000000000000001E-3</v>
      </c>
      <c r="P16" s="6">
        <v>3.0000000000000001E-3</v>
      </c>
      <c r="Q16" s="6">
        <v>3.0000000000000001E-3</v>
      </c>
      <c r="R16" s="6">
        <v>3.0000000000000001E-3</v>
      </c>
    </row>
    <row r="17" spans="1:18">
      <c r="A17" s="37" t="s">
        <v>113</v>
      </c>
      <c r="B17" s="6">
        <f>ROUND((fy23_summary_bnft_projection!D94/fy23_summary_bnft_projection!$D$43),3)</f>
        <v>1E-3</v>
      </c>
      <c r="C17" s="6">
        <f>ROUND((fy23_summary_bnft_projection!E94/fy23_summary_bnft_projection!$F$43),3)</f>
        <v>1E-3</v>
      </c>
      <c r="D17" s="6">
        <f>ROUND((fy23_summary_bnft_projection!F94/fy23_summary_bnft_projection!$K$43),3)</f>
        <v>1E-3</v>
      </c>
      <c r="E17" s="6">
        <f>ROUND((fy23_summary_bnft_projection!G94/fy23_summary_bnft_projection!$M$43),3)</f>
        <v>0</v>
      </c>
      <c r="F17" s="6">
        <f>ROUND((fy23_summary_bnft_projection!H94/fy23_summary_bnft_projection!$Q$43),3)</f>
        <v>0</v>
      </c>
      <c r="H17" s="6">
        <f>ROUND((fy23_summary_bnft_projection!E23/fy23_summary_bnft_projection!$E$13),3)+0.001</f>
        <v>2E-3</v>
      </c>
      <c r="I17" s="6">
        <f>ROUND((fy23_summary_bnft_projection!G23/fy23_summary_bnft_projection!$G$13),3)+0.001</f>
        <v>2E-3</v>
      </c>
      <c r="J17" s="6">
        <f>ROUND((fy23_summary_bnft_projection!L23/fy23_summary_bnft_projection!$L$13),3)</f>
        <v>1E-3</v>
      </c>
      <c r="K17" s="6">
        <f>ROUND((fy23_summary_bnft_projection!N23/fy23_summary_bnft_projection!$N$13),3)</f>
        <v>0</v>
      </c>
      <c r="L17" s="6">
        <f>ROUND((fy23_summary_bnft_projection!R23/fy23_summary_bnft_projection!$R$13),3)</f>
        <v>0</v>
      </c>
      <c r="N17" s="37" t="s">
        <v>113</v>
      </c>
      <c r="O17" s="6">
        <v>1E-3</v>
      </c>
      <c r="P17" s="6">
        <v>1E-3</v>
      </c>
      <c r="Q17" s="6">
        <v>1E-3</v>
      </c>
      <c r="R17" s="6">
        <v>1E-3</v>
      </c>
    </row>
    <row r="18" spans="1:18">
      <c r="A18" s="37" t="s">
        <v>114</v>
      </c>
      <c r="B18" s="6">
        <f>ROUND((fy23_summary_bnft_projection!D95/fy23_summary_bnft_projection!$D$43),3)</f>
        <v>2E-3</v>
      </c>
      <c r="C18" s="6">
        <f>ROUND((fy23_summary_bnft_projection!E95/fy23_summary_bnft_projection!$F$43),3)</f>
        <v>2E-3</v>
      </c>
      <c r="D18" s="6">
        <f>ROUND((fy23_summary_bnft_projection!F95/fy23_summary_bnft_projection!$K$43),3)</f>
        <v>2E-3</v>
      </c>
      <c r="E18" s="6">
        <f>ROUND((fy23_summary_bnft_projection!G95/fy23_summary_bnft_projection!$M$43),3)</f>
        <v>2E-3</v>
      </c>
      <c r="F18" s="6">
        <f>ROUND((fy23_summary_bnft_projection!H95/fy23_summary_bnft_projection!$Q$43),3)</f>
        <v>1E-3</v>
      </c>
      <c r="H18" s="6">
        <f>ROUND((fy23_summary_bnft_projection!E25/fy23_summary_bnft_projection!$E$13),3)</f>
        <v>4.0000000000000001E-3</v>
      </c>
      <c r="I18" s="6">
        <f>ROUND((fy23_summary_bnft_projection!G25/fy23_summary_bnft_projection!$G$13),3)</f>
        <v>4.0000000000000001E-3</v>
      </c>
      <c r="J18" s="6">
        <f>ROUND((fy23_summary_bnft_projection!L25/fy23_summary_bnft_projection!$L$13),3)-0.001</f>
        <v>3.0000000000000001E-3</v>
      </c>
      <c r="K18" s="6">
        <f>ROUND((fy23_summary_bnft_projection!N25/fy23_summary_bnft_projection!$N$13),3)</f>
        <v>4.0000000000000001E-3</v>
      </c>
      <c r="L18" s="6">
        <f>ROUND((fy23_summary_bnft_projection!R25/fy23_summary_bnft_projection!$R$13),3)</f>
        <v>4.0000000000000001E-3</v>
      </c>
      <c r="N18" s="37" t="s">
        <v>114</v>
      </c>
      <c r="O18" s="6">
        <v>2E-3</v>
      </c>
      <c r="P18" s="6">
        <v>2E-3</v>
      </c>
      <c r="Q18" s="6">
        <v>2E-3</v>
      </c>
      <c r="R18" s="6">
        <v>2E-3</v>
      </c>
    </row>
    <row r="19" spans="1:18">
      <c r="A19" s="37" t="s">
        <v>115</v>
      </c>
      <c r="B19" s="6">
        <f>ROUND((fy23_summary_bnft_projection!D101/fy23_summary_bnft_projection!$D$43),3)+0.001</f>
        <v>1E-3</v>
      </c>
      <c r="C19" s="6">
        <f>ROUND((fy23_summary_bnft_projection!E101/fy23_summary_bnft_projection!$F$43),3)+0.001</f>
        <v>2E-3</v>
      </c>
      <c r="D19" s="6">
        <f>ROUND((fy23_summary_bnft_projection!F101/fy23_summary_bnft_projection!$K$43),3)</f>
        <v>0</v>
      </c>
      <c r="E19" s="6">
        <f>ROUND((fy23_summary_bnft_projection!G101/fy23_summary_bnft_projection!$M$43),3)</f>
        <v>0</v>
      </c>
      <c r="F19" s="6">
        <f>ROUND((fy23_summary_bnft_projection!H101/fy23_summary_bnft_projection!$Q$43),3)</f>
        <v>0</v>
      </c>
      <c r="H19" s="6">
        <f>ROUND((fy23_summary_bnft_projection!E30/fy23_summary_bnft_projection!$E$13),3)+0.001</f>
        <v>2E-3</v>
      </c>
      <c r="I19" s="6">
        <f>ROUND((fy23_summary_bnft_projection!G30/fy23_summary_bnft_projection!$G$13),3)+0.001</f>
        <v>2E-3</v>
      </c>
      <c r="J19" s="6">
        <f>ROUND((fy23_summary_bnft_projection!L30/fy23_summary_bnft_projection!$L$13),3)</f>
        <v>0</v>
      </c>
      <c r="K19" s="6">
        <f>ROUND((fy23_summary_bnft_projection!N30/fy23_summary_bnft_projection!$N$13),3)</f>
        <v>0</v>
      </c>
      <c r="L19" s="6">
        <f>ROUND((fy23_summary_bnft_projection!R30/fy23_summary_bnft_projection!$R$13),3)</f>
        <v>0</v>
      </c>
      <c r="N19" s="37" t="s">
        <v>115</v>
      </c>
      <c r="O19" s="6">
        <v>1E-3</v>
      </c>
      <c r="P19" s="6">
        <v>1E-3</v>
      </c>
      <c r="Q19" s="6">
        <v>1E-3</v>
      </c>
      <c r="R19" s="6">
        <v>1E-3</v>
      </c>
    </row>
    <row r="20" spans="1:18">
      <c r="A20" s="37" t="s">
        <v>116</v>
      </c>
      <c r="B20" s="6">
        <f>ROUND((fy23_summary_bnft_projection!D102/fy23_summary_bnft_projection!$D$43),3)</f>
        <v>4.0000000000000001E-3</v>
      </c>
      <c r="C20" s="6">
        <f>ROUND((fy23_summary_bnft_projection!E102/fy23_summary_bnft_projection!$F$43),3)</f>
        <v>7.0000000000000001E-3</v>
      </c>
      <c r="D20" s="6">
        <f>ROUND((fy23_summary_bnft_projection!F102/fy23_summary_bnft_projection!$K$43),3)</f>
        <v>0</v>
      </c>
      <c r="E20" s="6">
        <f>ROUND((fy23_summary_bnft_projection!G102/fy23_summary_bnft_projection!$M$43),3)</f>
        <v>0</v>
      </c>
      <c r="F20" s="6">
        <f>ROUND((fy23_summary_bnft_projection!H102/fy23_summary_bnft_projection!$Q$43),3)</f>
        <v>0</v>
      </c>
      <c r="H20" s="6">
        <f>ROUND((fy23_summary_bnft_projection!E31/fy23_summary_bnft_projection!$E$13),3)</f>
        <v>7.0000000000000001E-3</v>
      </c>
      <c r="I20" s="6">
        <f>ROUND((fy23_summary_bnft_projection!G31/fy23_summary_bnft_projection!$G$13),3)</f>
        <v>6.0000000000000001E-3</v>
      </c>
      <c r="J20" s="6">
        <f>ROUND((fy23_summary_bnft_projection!L31/fy23_summary_bnft_projection!$L$13),3)</f>
        <v>0</v>
      </c>
      <c r="K20" s="6">
        <f>ROUND((fy23_summary_bnft_projection!N31/fy23_summary_bnft_projection!$N$13),3)</f>
        <v>0</v>
      </c>
      <c r="L20" s="6">
        <f>ROUND((fy23_summary_bnft_projection!R31/fy23_summary_bnft_projection!$R$13),3)</f>
        <v>0</v>
      </c>
      <c r="N20" s="37" t="s">
        <v>116</v>
      </c>
      <c r="O20" s="6">
        <v>1E-3</v>
      </c>
      <c r="P20" s="6">
        <v>1E-3</v>
      </c>
      <c r="Q20" s="6">
        <v>1E-3</v>
      </c>
      <c r="R20" s="6">
        <v>1E-3</v>
      </c>
    </row>
    <row r="21" spans="1:18">
      <c r="A21" s="37" t="s">
        <v>117</v>
      </c>
      <c r="B21" s="6">
        <v>0</v>
      </c>
      <c r="C21" s="6">
        <v>0</v>
      </c>
      <c r="D21" s="6">
        <f>ROUND((fy23_summary_bnft_projection!F98/fy23_summary_bnft_projection!$K$43),3)</f>
        <v>0</v>
      </c>
      <c r="E21" s="6">
        <f>ROUND((fy23_summary_bnft_projection!G98/fy23_summary_bnft_projection!$M$43),3)</f>
        <v>0</v>
      </c>
      <c r="F21" s="6">
        <f>ROUND((fy23_summary_bnft_projection!H98/fy23_summary_bnft_projection!$Q$43),3)-0.001</f>
        <v>0.113</v>
      </c>
      <c r="H21" s="6">
        <f>ROUND((fy23_summary_bnft_projection!E27/fy23_summary_bnft_projection!$E$13),3)</f>
        <v>0</v>
      </c>
      <c r="I21" s="6">
        <f>ROUND((fy23_summary_bnft_projection!G27/fy23_summary_bnft_projection!$G$13),3)</f>
        <v>0</v>
      </c>
      <c r="J21" s="6">
        <f>ROUND((fy23_summary_bnft_projection!L27/fy23_summary_bnft_projection!$L$13),3)</f>
        <v>0</v>
      </c>
      <c r="K21" s="6">
        <f>ROUND((fy23_summary_bnft_projection!N27/fy23_summary_bnft_projection!$N$13),3)</f>
        <v>0</v>
      </c>
      <c r="L21" s="6">
        <f>ROUND((fy23_summary_bnft_projection!R27/fy23_summary_bnft_projection!$R$13),3)+0.001</f>
        <v>0.112</v>
      </c>
      <c r="N21" s="37" t="s">
        <v>117</v>
      </c>
      <c r="O21" s="6">
        <v>0</v>
      </c>
      <c r="P21" s="6">
        <v>0</v>
      </c>
      <c r="Q21" s="6">
        <v>0</v>
      </c>
      <c r="R21" s="6">
        <v>0</v>
      </c>
    </row>
    <row r="22" spans="1:18">
      <c r="A22" s="37" t="s">
        <v>118</v>
      </c>
      <c r="B22" s="6">
        <f>ROUND((fy23_summary_bnft_projection!D103/fy23_summary_bnft_projection!$D$43),3)</f>
        <v>8.0000000000000002E-3</v>
      </c>
      <c r="C22" s="6">
        <f>ROUND((fy23_summary_bnft_projection!E103/fy23_summary_bnft_projection!$F$43),3)</f>
        <v>1.4E-2</v>
      </c>
      <c r="D22" s="6">
        <f>ROUND((fy23_summary_bnft_projection!F103/fy23_summary_bnft_projection!$K$43),3)</f>
        <v>0</v>
      </c>
      <c r="E22" s="6">
        <f>ROUND((fy23_summary_bnft_projection!G103/fy23_summary_bnft_projection!$M$43),3)</f>
        <v>0</v>
      </c>
      <c r="F22" s="6">
        <f>ROUND((fy23_summary_bnft_projection!H103/fy23_summary_bnft_projection!$Q$43),3)</f>
        <v>0</v>
      </c>
      <c r="H22" s="6">
        <f>ROUND((fy23_summary_bnft_projection!E32/fy23_summary_bnft_projection!$E$13),3)</f>
        <v>1.4999999999999999E-2</v>
      </c>
      <c r="I22" s="6">
        <f>ROUND((fy23_summary_bnft_projection!G32/fy23_summary_bnft_projection!$G$13),3)</f>
        <v>1.4E-2</v>
      </c>
      <c r="J22" s="6">
        <f>ROUND((fy23_summary_bnft_projection!L32/fy23_summary_bnft_projection!$L$13),3)</f>
        <v>0</v>
      </c>
      <c r="K22" s="6">
        <f>ROUND((fy23_summary_bnft_projection!N32/fy23_summary_bnft_projection!$N$13),3)</f>
        <v>0</v>
      </c>
      <c r="L22" s="6">
        <f>ROUND((fy23_summary_bnft_projection!R32/fy23_summary_bnft_projection!$R$13),3)</f>
        <v>0</v>
      </c>
      <c r="N22" s="37" t="s">
        <v>118</v>
      </c>
      <c r="O22" s="6">
        <v>2E-3</v>
      </c>
      <c r="P22" s="6">
        <v>2E-3</v>
      </c>
      <c r="Q22" s="6">
        <v>2E-3</v>
      </c>
      <c r="R22" s="6">
        <v>2E-3</v>
      </c>
    </row>
    <row r="23" spans="1:18">
      <c r="A23" s="37" t="s">
        <v>119</v>
      </c>
      <c r="B23" s="6">
        <f>ROUND((fy23_summary_bnft_projection!D104/fy23_summary_bnft_projection!$D$43),3)</f>
        <v>3.0000000000000001E-3</v>
      </c>
      <c r="C23" s="6">
        <f>ROUND((fy23_summary_bnft_projection!E104/fy23_summary_bnft_projection!$F$43),3)</f>
        <v>6.0000000000000001E-3</v>
      </c>
      <c r="D23" s="6">
        <f>ROUND((fy23_summary_bnft_projection!F104/fy23_summary_bnft_projection!$K$43),3)</f>
        <v>0</v>
      </c>
      <c r="E23" s="6">
        <f>ROUND((fy23_summary_bnft_projection!G104/fy23_summary_bnft_projection!$M$43),3)</f>
        <v>0</v>
      </c>
      <c r="F23" s="6">
        <f>ROUND((fy23_summary_bnft_projection!H104/fy23_summary_bnft_projection!$Q$43),3)</f>
        <v>0</v>
      </c>
      <c r="H23" s="6">
        <f>ROUND((fy23_summary_bnft_projection!E33/fy23_summary_bnft_projection!$E$13),3)</f>
        <v>5.0000000000000001E-3</v>
      </c>
      <c r="I23" s="6">
        <f>ROUND((fy23_summary_bnft_projection!G33/fy23_summary_bnft_projection!$G$13),3)</f>
        <v>5.0000000000000001E-3</v>
      </c>
      <c r="J23" s="6">
        <f>ROUND((fy23_summary_bnft_projection!L33/fy23_summary_bnft_projection!$L$13),3)</f>
        <v>0</v>
      </c>
      <c r="K23" s="6">
        <f>ROUND((fy23_summary_bnft_projection!N33/fy23_summary_bnft_projection!$N$13),3)</f>
        <v>0</v>
      </c>
      <c r="L23" s="6">
        <f>ROUND((fy23_summary_bnft_projection!R33/fy23_summary_bnft_projection!$R$13),3)</f>
        <v>0</v>
      </c>
      <c r="N23" s="37" t="s">
        <v>119</v>
      </c>
      <c r="O23" s="6">
        <v>1E-3</v>
      </c>
      <c r="P23" s="6">
        <v>1E-3</v>
      </c>
      <c r="Q23" s="6">
        <v>1E-3</v>
      </c>
      <c r="R23" s="6">
        <v>1E-3</v>
      </c>
    </row>
    <row r="24" spans="1:18">
      <c r="A24" s="38" t="s">
        <v>120</v>
      </c>
      <c r="B24" s="6">
        <f>'Rate Summary'!B2</f>
        <v>0.27100000000000002</v>
      </c>
      <c r="C24" s="6">
        <f>'Rate Summary'!B3</f>
        <v>0.35399999999999998</v>
      </c>
      <c r="D24" s="6">
        <f>'Rate Summary'!B4</f>
        <v>0.159</v>
      </c>
      <c r="E24" s="6">
        <f>'Rate Summary'!B5</f>
        <v>4.0000000000000001E-3</v>
      </c>
      <c r="F24" s="6">
        <f>'Rate Summary'!B6</f>
        <v>0.115</v>
      </c>
      <c r="H24" s="6">
        <f>'Rate Summary'!B9</f>
        <v>0.35699999999999998</v>
      </c>
      <c r="I24" s="6">
        <f>'Rate Summary'!B10</f>
        <v>0.34300000000000003</v>
      </c>
      <c r="J24" s="6">
        <f>'Rate Summary'!B11</f>
        <v>0.161</v>
      </c>
      <c r="K24" s="6">
        <f>'Rate Summary'!B12</f>
        <v>6.0000000000000001E-3</v>
      </c>
      <c r="L24" s="6">
        <f>'Rate Summary'!B13</f>
        <v>0.11799999999999999</v>
      </c>
      <c r="N24" s="38" t="s">
        <v>120</v>
      </c>
      <c r="O24" s="6">
        <f>'Rate Summary'!B22</f>
        <v>0.14399999999999999</v>
      </c>
      <c r="P24" s="6">
        <f>'Rate Summary'!B23</f>
        <v>0.19400000000000001</v>
      </c>
      <c r="Q24" s="6">
        <f>'Rate Summary'!B24</f>
        <v>0.184</v>
      </c>
      <c r="R24" s="6">
        <f>'Rate Summary'!B25</f>
        <v>0.23799999999999999</v>
      </c>
    </row>
    <row r="25" spans="1:18">
      <c r="A25" s="39"/>
      <c r="B25" s="6"/>
      <c r="C25" s="6"/>
      <c r="D25" s="6"/>
      <c r="E25" s="6"/>
      <c r="F25" s="6"/>
      <c r="H25" s="6"/>
      <c r="I25" s="6"/>
      <c r="J25" s="6"/>
      <c r="K25" s="6"/>
      <c r="L25" s="6"/>
      <c r="N25" s="39"/>
      <c r="O25" s="6"/>
      <c r="P25" s="6"/>
      <c r="Q25" s="6"/>
      <c r="R25" s="6"/>
    </row>
    <row r="26" spans="1:18">
      <c r="A26" s="40" t="s">
        <v>121</v>
      </c>
      <c r="B26" s="6">
        <f>SUM(B5:B7,B13:B23)</f>
        <v>0.27100000000000002</v>
      </c>
      <c r="C26" s="6">
        <f t="shared" ref="C26:F26" si="5">SUM(C5:C7,C13:C23)</f>
        <v>0.35400000000000009</v>
      </c>
      <c r="D26" s="6">
        <f t="shared" si="5"/>
        <v>0.159</v>
      </c>
      <c r="E26" s="6">
        <f t="shared" si="5"/>
        <v>4.0000000000000001E-3</v>
      </c>
      <c r="F26" s="6">
        <f t="shared" si="5"/>
        <v>0.115</v>
      </c>
      <c r="H26" s="6">
        <f>SUM(H5:H7,H13:H23)</f>
        <v>0.35700000000000004</v>
      </c>
      <c r="I26" s="6">
        <f t="shared" ref="I26:L26" si="6">SUM(I5:I7,I13:I23)</f>
        <v>0.34300000000000003</v>
      </c>
      <c r="J26" s="6">
        <f t="shared" si="6"/>
        <v>0.161</v>
      </c>
      <c r="K26" s="6">
        <f t="shared" si="6"/>
        <v>6.0000000000000001E-3</v>
      </c>
      <c r="L26" s="6">
        <f t="shared" si="6"/>
        <v>0.11800000000000001</v>
      </c>
      <c r="N26" s="40" t="s">
        <v>121</v>
      </c>
      <c r="O26" s="6">
        <f t="shared" ref="O26:R26" si="7">SUM(O5:O7,O13:O23)</f>
        <v>0.14400000000000002</v>
      </c>
      <c r="P26" s="6">
        <f t="shared" si="7"/>
        <v>0.19400000000000001</v>
      </c>
      <c r="Q26" s="6">
        <f t="shared" si="7"/>
        <v>0.18400000000000005</v>
      </c>
      <c r="R26" s="6">
        <f t="shared" si="7"/>
        <v>0.23800000000000004</v>
      </c>
    </row>
    <row r="28" spans="1:18">
      <c r="B28" s="43">
        <f>B24-B26</f>
        <v>0</v>
      </c>
      <c r="C28" s="43">
        <f t="shared" ref="C28:F28" si="8">C24-C26</f>
        <v>0</v>
      </c>
      <c r="D28" s="43">
        <f t="shared" si="8"/>
        <v>0</v>
      </c>
      <c r="E28" s="43">
        <f t="shared" si="8"/>
        <v>0</v>
      </c>
      <c r="F28" s="43">
        <f t="shared" si="8"/>
        <v>0</v>
      </c>
      <c r="H28" s="43">
        <f>H24-H26</f>
        <v>0</v>
      </c>
      <c r="I28" s="43">
        <f t="shared" ref="I28:L28" si="9">I24-I26</f>
        <v>0</v>
      </c>
      <c r="J28" s="43">
        <f t="shared" si="9"/>
        <v>0</v>
      </c>
      <c r="K28" s="43">
        <f t="shared" si="9"/>
        <v>0</v>
      </c>
      <c r="L28" s="43">
        <f t="shared" si="9"/>
        <v>0</v>
      </c>
      <c r="O28" s="43">
        <f t="shared" ref="O28:R28" si="10">O24-O26</f>
        <v>0</v>
      </c>
      <c r="P28" s="43">
        <f t="shared" si="10"/>
        <v>0</v>
      </c>
      <c r="Q28" s="43">
        <f t="shared" si="10"/>
        <v>0</v>
      </c>
      <c r="R28" s="43">
        <f t="shared" si="10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3CA40-DBBF-480F-90ED-EB1F31B9506F}">
  <dimension ref="A2:U2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9" sqref="A29"/>
    </sheetView>
  </sheetViews>
  <sheetFormatPr defaultRowHeight="12.75"/>
  <cols>
    <col min="1" max="1" width="23.140625" bestFit="1" customWidth="1"/>
    <col min="2" max="2" width="9.28515625" customWidth="1"/>
    <col min="3" max="4" width="23.140625" customWidth="1"/>
    <col min="5" max="9" width="10.7109375" customWidth="1"/>
    <col min="10" max="10" width="2.7109375" customWidth="1"/>
    <col min="11" max="15" width="10.7109375" customWidth="1"/>
    <col min="16" max="16" width="2.42578125" customWidth="1"/>
    <col min="17" max="17" width="23.140625" customWidth="1"/>
    <col min="18" max="21" width="9.140625" customWidth="1"/>
  </cols>
  <sheetData>
    <row r="2" spans="1:21">
      <c r="E2" s="42" t="s">
        <v>125</v>
      </c>
      <c r="F2" s="41"/>
      <c r="G2" s="41"/>
      <c r="H2" s="41"/>
      <c r="I2" s="41"/>
      <c r="K2" s="42" t="s">
        <v>33</v>
      </c>
      <c r="L2" s="41"/>
      <c r="M2" s="41"/>
      <c r="N2" s="41"/>
      <c r="O2" s="41"/>
    </row>
    <row r="3" spans="1:21">
      <c r="E3" s="2" t="s">
        <v>9</v>
      </c>
      <c r="F3" s="2" t="s">
        <v>122</v>
      </c>
      <c r="G3" s="2" t="s">
        <v>11</v>
      </c>
      <c r="H3" s="2" t="s">
        <v>123</v>
      </c>
      <c r="I3" s="2" t="s">
        <v>124</v>
      </c>
      <c r="K3" s="2" t="s">
        <v>9</v>
      </c>
      <c r="L3" s="2" t="s">
        <v>122</v>
      </c>
      <c r="M3" s="2" t="s">
        <v>11</v>
      </c>
      <c r="N3" s="2" t="s">
        <v>123</v>
      </c>
      <c r="O3" s="2" t="s">
        <v>124</v>
      </c>
    </row>
    <row r="4" spans="1:21">
      <c r="A4" s="1" t="s">
        <v>158</v>
      </c>
      <c r="B4" s="1" t="s">
        <v>161</v>
      </c>
      <c r="C4" s="54" t="s">
        <v>159</v>
      </c>
      <c r="D4" s="54" t="s">
        <v>160</v>
      </c>
      <c r="E4" s="2" t="s">
        <v>17</v>
      </c>
      <c r="F4" s="2" t="s">
        <v>95</v>
      </c>
      <c r="G4" s="2" t="s">
        <v>22</v>
      </c>
      <c r="H4" s="2" t="s">
        <v>24</v>
      </c>
      <c r="I4" s="2" t="s">
        <v>28</v>
      </c>
      <c r="K4" s="2" t="s">
        <v>17</v>
      </c>
      <c r="L4" s="2" t="s">
        <v>95</v>
      </c>
      <c r="M4" s="2" t="s">
        <v>22</v>
      </c>
      <c r="N4" s="2" t="s">
        <v>24</v>
      </c>
      <c r="O4" s="2" t="s">
        <v>28</v>
      </c>
      <c r="R4" s="2" t="s">
        <v>99</v>
      </c>
      <c r="S4" s="2" t="s">
        <v>100</v>
      </c>
      <c r="T4" s="2" t="s">
        <v>156</v>
      </c>
      <c r="U4" s="2" t="s">
        <v>101</v>
      </c>
    </row>
    <row r="5" spans="1:21">
      <c r="A5" s="44" t="s">
        <v>40</v>
      </c>
      <c r="B5" s="44" t="s">
        <v>134</v>
      </c>
      <c r="C5" t="s">
        <v>162</v>
      </c>
      <c r="D5" t="s">
        <v>163</v>
      </c>
      <c r="E5" s="6">
        <f>ROUND('Components UNIV HS &amp; FGP'!B5/'Components UNIV HS &amp; FGP'!$B$24,3)</f>
        <v>0.52</v>
      </c>
      <c r="F5" s="6">
        <f>ROUND('Components UNIV HS &amp; FGP'!C5/'Components UNIV HS &amp; FGP'!$C$24,3)</f>
        <v>0</v>
      </c>
      <c r="G5" s="6">
        <f>ROUND('Components UNIV HS &amp; FGP'!D5/'Components UNIV HS &amp; FGP'!$D$24,3)</f>
        <v>0.88700000000000001</v>
      </c>
      <c r="H5" s="6">
        <f>ROUND('Components UNIV HS &amp; FGP'!E5/'Components UNIV HS &amp; FGP'!$E$24,3)</f>
        <v>0</v>
      </c>
      <c r="I5" s="6">
        <f>ROUND('Components UNIV HS &amp; FGP'!F5/'Components UNIV HS &amp; FGP'!$F$24,3)</f>
        <v>0</v>
      </c>
      <c r="K5" s="6">
        <f>ROUND('Components UNIV HS &amp; FGP'!H5/'Components UNIV HS &amp; FGP'!H$24,3)</f>
        <v>0.39500000000000002</v>
      </c>
      <c r="L5" s="6">
        <f>ROUND('Components UNIV HS &amp; FGP'!I5/'Components UNIV HS &amp; FGP'!I$24,3)</f>
        <v>0</v>
      </c>
      <c r="M5" s="6">
        <f>ROUND('Components UNIV HS &amp; FGP'!J5/'Components UNIV HS &amp; FGP'!J$24,3)</f>
        <v>0.876</v>
      </c>
      <c r="N5" s="6">
        <f>ROUND('Components UNIV HS &amp; FGP'!K5/'Components UNIV HS &amp; FGP'!K$24,3)</f>
        <v>0</v>
      </c>
      <c r="O5" s="6">
        <f>ROUND('Components UNIV HS &amp; FGP'!L5/'Components UNIV HS &amp; FGP'!L$24,3)</f>
        <v>0</v>
      </c>
      <c r="Q5" s="36" t="s">
        <v>40</v>
      </c>
      <c r="R5" s="6">
        <f>ROUND('Components UNIV HS &amp; FGP'!O5/'Components UNIV HS &amp; FGP'!O$24,3)</f>
        <v>0.69399999999999995</v>
      </c>
      <c r="S5" s="6">
        <f>ROUND('Components UNIV HS &amp; FGP'!P5/'Components UNIV HS &amp; FGP'!P$24,3)</f>
        <v>0.77300000000000002</v>
      </c>
      <c r="T5" s="6">
        <f>ROUND('Components UNIV HS &amp; FGP'!Q5/'Components UNIV HS &amp; FGP'!Q$24,3)</f>
        <v>0</v>
      </c>
      <c r="U5" s="6">
        <f>ROUND('Components UNIV HS &amp; FGP'!R5/'Components UNIV HS &amp; FGP'!R$24,3)</f>
        <v>0.81499999999999995</v>
      </c>
    </row>
    <row r="6" spans="1:21">
      <c r="A6" s="44" t="s">
        <v>42</v>
      </c>
      <c r="B6" s="44" t="s">
        <v>135</v>
      </c>
      <c r="C6" t="s">
        <v>162</v>
      </c>
      <c r="D6" t="s">
        <v>163</v>
      </c>
      <c r="E6" s="6">
        <f>ROUND('Components UNIV HS &amp; FGP'!B6/'Components UNIV HS &amp; FGP'!$B$24,3)</f>
        <v>0</v>
      </c>
      <c r="F6" s="6">
        <f>ROUND('Components UNIV HS &amp; FGP'!C6/'Components UNIV HS &amp; FGP'!$C$24,3)</f>
        <v>0.39500000000000002</v>
      </c>
      <c r="G6" s="6">
        <f>ROUND('Components UNIV HS &amp; FGP'!D6/'Components UNIV HS &amp; FGP'!$D$24,3)</f>
        <v>0</v>
      </c>
      <c r="H6" s="6">
        <f>ROUND('Components UNIV HS &amp; FGP'!E6/'Components UNIV HS &amp; FGP'!$E$24,3)</f>
        <v>0</v>
      </c>
      <c r="I6" s="6">
        <f>ROUND('Components UNIV HS &amp; FGP'!F6/'Components UNIV HS &amp; FGP'!$F$24,3)</f>
        <v>0</v>
      </c>
      <c r="K6" s="6">
        <f>ROUND('Components UNIV HS &amp; FGP'!H6/'Components UNIV HS &amp; FGP'!H$24,3)</f>
        <v>0</v>
      </c>
      <c r="L6" s="6">
        <f>ROUND('Components UNIV HS &amp; FGP'!I6/'Components UNIV HS &amp; FGP'!I$24,3)</f>
        <v>0.41099999999999998</v>
      </c>
      <c r="M6" s="6">
        <f>ROUND('Components UNIV HS &amp; FGP'!J6/'Components UNIV HS &amp; FGP'!J$24,3)</f>
        <v>0</v>
      </c>
      <c r="N6" s="6">
        <f>ROUND('Components UNIV HS &amp; FGP'!K6/'Components UNIV HS &amp; FGP'!K$24,3)</f>
        <v>0</v>
      </c>
      <c r="O6" s="6">
        <f>ROUND('Components UNIV HS &amp; FGP'!L6/'Components UNIV HS &amp; FGP'!L$24,3)</f>
        <v>0</v>
      </c>
      <c r="Q6" s="37" t="s">
        <v>154</v>
      </c>
      <c r="R6" s="6">
        <f>ROUND('Components UNIV HS &amp; FGP'!O6/'Components UNIV HS &amp; FGP'!O$24,3)</f>
        <v>0</v>
      </c>
      <c r="S6" s="6">
        <f>ROUND('Components UNIV HS &amp; FGP'!P6/'Components UNIV HS &amp; FGP'!P$24,3)</f>
        <v>0</v>
      </c>
      <c r="T6" s="6">
        <f>ROUND('Components UNIV HS &amp; FGP'!Q6/'Components UNIV HS &amp; FGP'!Q$24,3)</f>
        <v>0.76100000000000001</v>
      </c>
      <c r="U6" s="6">
        <f>ROUND('Components UNIV HS &amp; FGP'!R6/'Components UNIV HS &amp; FGP'!R$24,3)</f>
        <v>0</v>
      </c>
    </row>
    <row r="7" spans="1:21">
      <c r="A7" s="44" t="s">
        <v>44</v>
      </c>
      <c r="B7" s="45" t="s">
        <v>136</v>
      </c>
      <c r="C7" t="s">
        <v>162</v>
      </c>
      <c r="D7" t="s">
        <v>163</v>
      </c>
      <c r="E7" s="6">
        <f>ROUND('Components UNIV HS &amp; FGP'!B7/'Components UNIV HS &amp; FGP'!$B$24,3)</f>
        <v>5.1999999999999998E-2</v>
      </c>
      <c r="F7" s="6">
        <f>ROUND('Components UNIV HS &amp; FGP'!C7/'Components UNIV HS &amp; FGP'!$C$24,3)</f>
        <v>0.04</v>
      </c>
      <c r="G7" s="6">
        <f>ROUND('Components UNIV HS &amp; FGP'!D7/'Components UNIV HS &amp; FGP'!$D$24,3)</f>
        <v>8.7999999999999995E-2</v>
      </c>
      <c r="H7" s="6">
        <f>ROUND('Components UNIV HS &amp; FGP'!E7/'Components UNIV HS &amp; FGP'!$E$24,3)</f>
        <v>0</v>
      </c>
      <c r="I7" s="6">
        <f>ROUND('Components UNIV HS &amp; FGP'!F7/'Components UNIV HS &amp; FGP'!$F$24,3)</f>
        <v>0</v>
      </c>
      <c r="K7" s="6">
        <f>ROUND('Components UNIV HS &amp; FGP'!H7/'Components UNIV HS &amp; FGP'!H$24,3)</f>
        <v>3.9E-2</v>
      </c>
      <c r="L7" s="6">
        <f>ROUND('Components UNIV HS &amp; FGP'!I7/'Components UNIV HS &amp; FGP'!I$24,3)</f>
        <v>4.1000000000000002E-2</v>
      </c>
      <c r="M7" s="6">
        <f>ROUND('Components UNIV HS &amp; FGP'!J7/'Components UNIV HS &amp; FGP'!J$24,3)</f>
        <v>8.6999999999999994E-2</v>
      </c>
      <c r="N7" s="6">
        <f>ROUND('Components UNIV HS &amp; FGP'!K7/'Components UNIV HS &amp; FGP'!K$24,3)</f>
        <v>0</v>
      </c>
      <c r="O7" s="6">
        <f>ROUND('Components UNIV HS &amp; FGP'!L7/'Components UNIV HS &amp; FGP'!L$24,3)</f>
        <v>0</v>
      </c>
      <c r="Q7" s="37" t="s">
        <v>103</v>
      </c>
      <c r="R7" s="6">
        <f>ROUND('Components UNIV HS &amp; FGP'!O7/'Components UNIV HS &amp; FGP'!O$24,3)</f>
        <v>0.09</v>
      </c>
      <c r="S7" s="6">
        <f>ROUND('Components UNIV HS &amp; FGP'!P7/'Components UNIV HS &amp; FGP'!P$24,3)</f>
        <v>6.7000000000000004E-2</v>
      </c>
      <c r="T7" s="6">
        <f>ROUND('Components UNIV HS &amp; FGP'!Q7/'Components UNIV HS &amp; FGP'!Q$24,3)</f>
        <v>7.0999999999999994E-2</v>
      </c>
      <c r="U7" s="6">
        <f>ROUND('Components UNIV HS &amp; FGP'!R7/'Components UNIV HS &amp; FGP'!R$24,3)</f>
        <v>5.5E-2</v>
      </c>
    </row>
    <row r="8" spans="1:21">
      <c r="A8" s="49" t="s">
        <v>104</v>
      </c>
      <c r="B8" s="50" t="s">
        <v>137</v>
      </c>
      <c r="C8" t="s">
        <v>162</v>
      </c>
      <c r="D8" t="s">
        <v>163</v>
      </c>
      <c r="E8" s="46">
        <f>ROUND('Components UNIV HS &amp; FGP'!B8/'Components UNIV HS &amp; FGP'!$B$24,3)-0.001</f>
        <v>0.29799999999999999</v>
      </c>
      <c r="F8" s="46">
        <f>ROUND('Components UNIV HS &amp; FGP'!C8/'Components UNIV HS &amp; FGP'!$C$24,3)-0.003</f>
        <v>0.40399999999999997</v>
      </c>
      <c r="G8" s="46">
        <f>ROUND('Components UNIV HS &amp; FGP'!D8/'Components UNIV HS &amp; FGP'!$D$24,3)</f>
        <v>0</v>
      </c>
      <c r="H8" s="46">
        <f>ROUND('Components UNIV HS &amp; FGP'!E8/'Components UNIV HS &amp; FGP'!$E$24,3)</f>
        <v>0</v>
      </c>
      <c r="I8" s="46">
        <f>ROUND('Components UNIV HS &amp; FGP'!F8/'Components UNIV HS &amp; FGP'!$F$24,3)</f>
        <v>0</v>
      </c>
      <c r="J8" s="47"/>
      <c r="K8" s="46">
        <f>ROUND('Components UNIV HS &amp; FGP'!H8/'Components UNIV HS &amp; FGP'!H$24,3)-0.003</f>
        <v>0.39800000000000002</v>
      </c>
      <c r="L8" s="46">
        <f>ROUND('Components UNIV HS &amp; FGP'!I8/'Components UNIV HS &amp; FGP'!I$24,3)-0.002</f>
        <v>0.38300000000000001</v>
      </c>
      <c r="M8" s="46">
        <f>ROUND('Components UNIV HS &amp; FGP'!J8/'Components UNIV HS &amp; FGP'!J$24,3)</f>
        <v>0</v>
      </c>
      <c r="N8" s="46">
        <f>ROUND('Components UNIV HS &amp; FGP'!K8/'Components UNIV HS &amp; FGP'!K$24,3)</f>
        <v>0</v>
      </c>
      <c r="O8" s="46">
        <f>ROUND('Components UNIV HS &amp; FGP'!L8/'Components UNIV HS &amp; FGP'!L$24,3)</f>
        <v>0</v>
      </c>
      <c r="Q8" s="46" t="s">
        <v>104</v>
      </c>
      <c r="R8" s="6">
        <f>ROUND('Components UNIV HS &amp; FGP'!O8/'Components UNIV HS &amp; FGP'!O$24,3)</f>
        <v>7.5999999999999998E-2</v>
      </c>
      <c r="S8" s="6">
        <f>ROUND('Components UNIV HS &amp; FGP'!P8/'Components UNIV HS &amp; FGP'!P$24,3)+0.002</f>
        <v>5.9000000000000004E-2</v>
      </c>
      <c r="T8" s="6">
        <f>ROUND('Components UNIV HS &amp; FGP'!Q8/'Components UNIV HS &amp; FGP'!Q$24,3)+0.001</f>
        <v>6.0999999999999999E-2</v>
      </c>
      <c r="U8" s="6">
        <f>ROUND('Components UNIV HS &amp; FGP'!R8/'Components UNIV HS &amp; FGP'!R$24,3)+0.002</f>
        <v>4.8000000000000001E-2</v>
      </c>
    </row>
    <row r="9" spans="1:21">
      <c r="A9" s="49" t="s">
        <v>105</v>
      </c>
      <c r="B9" s="50" t="s">
        <v>140</v>
      </c>
      <c r="C9" t="s">
        <v>162</v>
      </c>
      <c r="D9" t="s">
        <v>163</v>
      </c>
      <c r="E9" s="46">
        <f>ROUND('Components UNIV HS &amp; FGP'!B9/'Components UNIV HS &amp; FGP'!$B$24,3)</f>
        <v>0.03</v>
      </c>
      <c r="F9" s="46">
        <f>ROUND('Components UNIV HS &amp; FGP'!C9/'Components UNIV HS &amp; FGP'!$C$24,3)</f>
        <v>4.2000000000000003E-2</v>
      </c>
      <c r="G9" s="46">
        <f>ROUND('Components UNIV HS &amp; FGP'!D9/'Components UNIV HS &amp; FGP'!$D$24,3)</f>
        <v>0</v>
      </c>
      <c r="H9" s="46">
        <f>ROUND('Components UNIV HS &amp; FGP'!E9/'Components UNIV HS &amp; FGP'!$E$24,3)</f>
        <v>0</v>
      </c>
      <c r="I9" s="46">
        <f>ROUND('Components UNIV HS &amp; FGP'!F9/'Components UNIV HS &amp; FGP'!$F$24,3)</f>
        <v>0</v>
      </c>
      <c r="J9" s="47"/>
      <c r="K9" s="46">
        <f>ROUND('Components UNIV HS &amp; FGP'!H9/'Components UNIV HS &amp; FGP'!H$24,3)</f>
        <v>4.2000000000000003E-2</v>
      </c>
      <c r="L9" s="46">
        <f>ROUND('Components UNIV HS &amp; FGP'!I9/'Components UNIV HS &amp; FGP'!I$24,3)</f>
        <v>4.1000000000000002E-2</v>
      </c>
      <c r="M9" s="46">
        <f>ROUND('Components UNIV HS &amp; FGP'!J9/'Components UNIV HS &amp; FGP'!J$24,3)</f>
        <v>0</v>
      </c>
      <c r="N9" s="46">
        <f>ROUND('Components UNIV HS &amp; FGP'!K9/'Components UNIV HS &amp; FGP'!K$24,3)</f>
        <v>0</v>
      </c>
      <c r="O9" s="46">
        <f>ROUND('Components UNIV HS &amp; FGP'!L9/'Components UNIV HS &amp; FGP'!L$24,3)</f>
        <v>0</v>
      </c>
      <c r="Q9" s="46" t="s">
        <v>105</v>
      </c>
      <c r="R9" s="6">
        <f>ROUND('Components UNIV HS &amp; FGP'!O9/'Components UNIV HS &amp; FGP'!O$24,3)</f>
        <v>2.8000000000000001E-2</v>
      </c>
      <c r="S9" s="6">
        <f>ROUND('Components UNIV HS &amp; FGP'!P9/'Components UNIV HS &amp; FGP'!P$24,3)</f>
        <v>2.1000000000000001E-2</v>
      </c>
      <c r="T9" s="6">
        <f>ROUND('Components UNIV HS &amp; FGP'!Q9/'Components UNIV HS &amp; FGP'!Q$24,3)</f>
        <v>2.1999999999999999E-2</v>
      </c>
      <c r="U9" s="6">
        <f>ROUND('Components UNIV HS &amp; FGP'!R9/'Components UNIV HS &amp; FGP'!R$24,3)</f>
        <v>1.7000000000000001E-2</v>
      </c>
    </row>
    <row r="10" spans="1:21">
      <c r="A10" s="49" t="s">
        <v>106</v>
      </c>
      <c r="B10" s="50" t="s">
        <v>139</v>
      </c>
      <c r="C10" t="s">
        <v>162</v>
      </c>
      <c r="D10" t="s">
        <v>163</v>
      </c>
      <c r="E10" s="46">
        <f>ROUND('Components UNIV HS &amp; FGP'!B10/'Components UNIV HS &amp; FGP'!$B$24,3)</f>
        <v>4.0000000000000001E-3</v>
      </c>
      <c r="F10" s="46">
        <f>ROUND('Components UNIV HS &amp; FGP'!C10/'Components UNIV HS &amp; FGP'!$C$24,3)</f>
        <v>3.0000000000000001E-3</v>
      </c>
      <c r="G10" s="46">
        <f>ROUND('Components UNIV HS &amp; FGP'!D10/'Components UNIV HS &amp; FGP'!$D$24,3)</f>
        <v>0</v>
      </c>
      <c r="H10" s="46">
        <f>ROUND('Components UNIV HS &amp; FGP'!E10/'Components UNIV HS &amp; FGP'!$E$24,3)</f>
        <v>0</v>
      </c>
      <c r="I10" s="46">
        <f>ROUND('Components UNIV HS &amp; FGP'!F10/'Components UNIV HS &amp; FGP'!$F$24,3)</f>
        <v>0</v>
      </c>
      <c r="J10" s="47"/>
      <c r="K10" s="46">
        <f>ROUND('Components UNIV HS &amp; FGP'!H10/'Components UNIV HS &amp; FGP'!H$24,3)</f>
        <v>3.0000000000000001E-3</v>
      </c>
      <c r="L10" s="46">
        <f>ROUND('Components UNIV HS &amp; FGP'!I10/'Components UNIV HS &amp; FGP'!I$24,3)</f>
        <v>3.0000000000000001E-3</v>
      </c>
      <c r="M10" s="46">
        <f>ROUND('Components UNIV HS &amp; FGP'!J10/'Components UNIV HS &amp; FGP'!J$24,3)</f>
        <v>0</v>
      </c>
      <c r="N10" s="46">
        <f>ROUND('Components UNIV HS &amp; FGP'!K10/'Components UNIV HS &amp; FGP'!K$24,3)</f>
        <v>0</v>
      </c>
      <c r="O10" s="46">
        <f>ROUND('Components UNIV HS &amp; FGP'!L10/'Components UNIV HS &amp; FGP'!L$24,3)</f>
        <v>0</v>
      </c>
      <c r="Q10" s="46" t="s">
        <v>106</v>
      </c>
      <c r="R10" s="6">
        <f>ROUND('Components UNIV HS &amp; FGP'!O10/'Components UNIV HS &amp; FGP'!O$24,3)</f>
        <v>7.0000000000000001E-3</v>
      </c>
      <c r="S10" s="6">
        <f>ROUND('Components UNIV HS &amp; FGP'!P10/'Components UNIV HS &amp; FGP'!P$24,3)</f>
        <v>5.0000000000000001E-3</v>
      </c>
      <c r="T10" s="6">
        <f>ROUND('Components UNIV HS &amp; FGP'!Q10/'Components UNIV HS &amp; FGP'!Q$24,3)</f>
        <v>5.0000000000000001E-3</v>
      </c>
      <c r="U10" s="6">
        <f>ROUND('Components UNIV HS &amp; FGP'!R10/'Components UNIV HS &amp; FGP'!R$24,3)</f>
        <v>4.0000000000000001E-3</v>
      </c>
    </row>
    <row r="11" spans="1:21">
      <c r="A11" s="49" t="s">
        <v>107</v>
      </c>
      <c r="B11" s="50" t="s">
        <v>138</v>
      </c>
      <c r="C11" t="s">
        <v>162</v>
      </c>
      <c r="D11" t="s">
        <v>163</v>
      </c>
      <c r="E11" s="46">
        <f>ROUND('Components UNIV HS &amp; FGP'!B11/'Components UNIV HS &amp; FGP'!$B$24,3)</f>
        <v>4.0000000000000001E-3</v>
      </c>
      <c r="F11" s="46">
        <f>ROUND('Components UNIV HS &amp; FGP'!C11/'Components UNIV HS &amp; FGP'!$C$24,3)</f>
        <v>6.0000000000000001E-3</v>
      </c>
      <c r="G11" s="46">
        <f>ROUND('Components UNIV HS &amp; FGP'!D11/'Components UNIV HS &amp; FGP'!$D$24,3)</f>
        <v>0</v>
      </c>
      <c r="H11" s="46">
        <f>ROUND('Components UNIV HS &amp; FGP'!E11/'Components UNIV HS &amp; FGP'!$E$24,3)</f>
        <v>0</v>
      </c>
      <c r="I11" s="46">
        <f>ROUND('Components UNIV HS &amp; FGP'!F11/'Components UNIV HS &amp; FGP'!$F$24,3)</f>
        <v>0</v>
      </c>
      <c r="J11" s="47"/>
      <c r="K11" s="46">
        <f>ROUND('Components UNIV HS &amp; FGP'!H11/'Components UNIV HS &amp; FGP'!H$24,3)</f>
        <v>6.0000000000000001E-3</v>
      </c>
      <c r="L11" s="46">
        <f>ROUND('Components UNIV HS &amp; FGP'!I11/'Components UNIV HS &amp; FGP'!I$24,3)</f>
        <v>6.0000000000000001E-3</v>
      </c>
      <c r="M11" s="46">
        <f>ROUND('Components UNIV HS &amp; FGP'!J11/'Components UNIV HS &amp; FGP'!J$24,3)</f>
        <v>0</v>
      </c>
      <c r="N11" s="46">
        <f>ROUND('Components UNIV HS &amp; FGP'!K11/'Components UNIV HS &amp; FGP'!K$24,3)</f>
        <v>0</v>
      </c>
      <c r="O11" s="46">
        <f>ROUND('Components UNIV HS &amp; FGP'!L11/'Components UNIV HS &amp; FGP'!L$24,3)</f>
        <v>0</v>
      </c>
      <c r="Q11" s="46" t="s">
        <v>107</v>
      </c>
      <c r="R11" s="6">
        <f>ROUND('Components UNIV HS &amp; FGP'!O11/'Components UNIV HS &amp; FGP'!O$24,3)</f>
        <v>0</v>
      </c>
      <c r="S11" s="6">
        <f>ROUND('Components UNIV HS &amp; FGP'!P11/'Components UNIV HS &amp; FGP'!P$24,3)</f>
        <v>0</v>
      </c>
      <c r="T11" s="6">
        <f>ROUND('Components UNIV HS &amp; FGP'!Q11/'Components UNIV HS &amp; FGP'!Q$24,3)</f>
        <v>0</v>
      </c>
      <c r="U11" s="6">
        <f>ROUND('Components UNIV HS &amp; FGP'!R11/'Components UNIV HS &amp; FGP'!R$24,3)</f>
        <v>0</v>
      </c>
    </row>
    <row r="12" spans="1:21">
      <c r="A12" s="49" t="s">
        <v>108</v>
      </c>
      <c r="B12" s="50"/>
      <c r="C12" t="s">
        <v>162</v>
      </c>
      <c r="D12" t="s">
        <v>163</v>
      </c>
      <c r="E12" s="46">
        <f>SUM(E8:E11)</f>
        <v>0.33599999999999997</v>
      </c>
      <c r="F12" s="46">
        <f t="shared" ref="F12:I12" si="0">SUM(F8:F11)</f>
        <v>0.45499999999999996</v>
      </c>
      <c r="G12" s="46">
        <f t="shared" si="0"/>
        <v>0</v>
      </c>
      <c r="H12" s="46">
        <f t="shared" si="0"/>
        <v>0</v>
      </c>
      <c r="I12" s="46">
        <f t="shared" si="0"/>
        <v>0</v>
      </c>
      <c r="J12" s="47"/>
      <c r="K12" s="46">
        <f t="shared" ref="K12:O12" si="1">SUM(K8:K11)</f>
        <v>0.44900000000000001</v>
      </c>
      <c r="L12" s="46">
        <f t="shared" si="1"/>
        <v>0.433</v>
      </c>
      <c r="M12" s="46">
        <f t="shared" si="1"/>
        <v>0</v>
      </c>
      <c r="N12" s="46">
        <f t="shared" si="1"/>
        <v>0</v>
      </c>
      <c r="O12" s="46">
        <f t="shared" si="1"/>
        <v>0</v>
      </c>
      <c r="Q12" s="46" t="s">
        <v>108</v>
      </c>
      <c r="R12" s="43">
        <f>SUM(R8:R11)</f>
        <v>0.111</v>
      </c>
      <c r="S12" s="43">
        <f t="shared" ref="S12:U12" si="2">SUM(S8:S11)</f>
        <v>8.5000000000000006E-2</v>
      </c>
      <c r="T12" s="43">
        <f t="shared" si="2"/>
        <v>8.7999999999999995E-2</v>
      </c>
      <c r="U12" s="43">
        <f t="shared" si="2"/>
        <v>6.9000000000000006E-2</v>
      </c>
    </row>
    <row r="13" spans="1:21">
      <c r="A13" s="49" t="s">
        <v>109</v>
      </c>
      <c r="B13" s="50"/>
      <c r="C13" t="s">
        <v>162</v>
      </c>
      <c r="D13" t="s">
        <v>163</v>
      </c>
      <c r="E13" s="46">
        <f>ROUND('Components UNIV HS &amp; FGP'!B13/'Components UNIV HS &amp; FGP'!$B$24,3)</f>
        <v>0.33600000000000002</v>
      </c>
      <c r="F13" s="46">
        <f>ROUND('Components UNIV HS &amp; FGP'!C13/'Components UNIV HS &amp; FGP'!$C$24,3)-0.003</f>
        <v>0.45500000000000002</v>
      </c>
      <c r="G13" s="46">
        <f>ROUND('Components UNIV HS &amp; FGP'!D13/'Components UNIV HS &amp; FGP'!$D$24,3)</f>
        <v>0</v>
      </c>
      <c r="H13" s="46">
        <f>ROUND('Components UNIV HS &amp; FGP'!E13/'Components UNIV HS &amp; FGP'!$E$24,3)</f>
        <v>0</v>
      </c>
      <c r="I13" s="46">
        <f>ROUND('Components UNIV HS &amp; FGP'!F13/'Components UNIV HS &amp; FGP'!$F$24,3)</f>
        <v>0</v>
      </c>
      <c r="J13" s="47"/>
      <c r="K13" s="46">
        <f>ROUND('Components UNIV HS &amp; FGP'!H13/'Components UNIV HS &amp; FGP'!H$24,3)-0.002</f>
        <v>0.44900000000000001</v>
      </c>
      <c r="L13" s="46">
        <f>ROUND('Components UNIV HS &amp; FGP'!I13/'Components UNIV HS &amp; FGP'!I$24,3)-0.001</f>
        <v>0.433</v>
      </c>
      <c r="M13" s="46">
        <f>ROUND('Components UNIV HS &amp; FGP'!J13/'Components UNIV HS &amp; FGP'!J$24,3)</f>
        <v>0</v>
      </c>
      <c r="N13" s="46">
        <f>ROUND('Components UNIV HS &amp; FGP'!K13/'Components UNIV HS &amp; FGP'!K$24,3)</f>
        <v>0</v>
      </c>
      <c r="O13" s="46">
        <f>ROUND('Components UNIV HS &amp; FGP'!L13/'Components UNIV HS &amp; FGP'!L$24,3)</f>
        <v>0</v>
      </c>
      <c r="Q13" s="37" t="s">
        <v>109</v>
      </c>
      <c r="R13" s="6">
        <f>ROUND('Components UNIV HS &amp; FGP'!O13/'Components UNIV HS &amp; FGP'!O$24,3)</f>
        <v>0.111</v>
      </c>
      <c r="S13" s="6">
        <f>ROUND('Components UNIV HS &amp; FGP'!P13/'Components UNIV HS &amp; FGP'!P$24,3)+0.003</f>
        <v>8.5000000000000006E-2</v>
      </c>
      <c r="T13" s="6">
        <f>ROUND('Components UNIV HS &amp; FGP'!Q13/'Components UNIV HS &amp; FGP'!Q$24,3)+0.001</f>
        <v>8.7999999999999995E-2</v>
      </c>
      <c r="U13" s="6">
        <f>ROUND('Components UNIV HS &amp; FGP'!R13/'Components UNIV HS &amp; FGP'!R$24,3)+0.002</f>
        <v>6.9000000000000006E-2</v>
      </c>
    </row>
    <row r="14" spans="1:21">
      <c r="A14" s="44" t="s">
        <v>133</v>
      </c>
      <c r="B14" s="44" t="s">
        <v>141</v>
      </c>
      <c r="C14" t="s">
        <v>162</v>
      </c>
      <c r="D14" t="s">
        <v>163</v>
      </c>
      <c r="E14" s="6">
        <f>ROUND('Components UNIV HS &amp; FGP'!B14/'Components UNIV HS &amp; FGP'!$B$24,3)</f>
        <v>7.0000000000000001E-3</v>
      </c>
      <c r="F14" s="6">
        <f>ROUND('Components UNIV HS &amp; FGP'!C14/'Components UNIV HS &amp; FGP'!$C$24,3)</f>
        <v>6.0000000000000001E-3</v>
      </c>
      <c r="G14" s="6">
        <f>ROUND('Components UNIV HS &amp; FGP'!D14/'Components UNIV HS &amp; FGP'!$D$24,3)</f>
        <v>6.0000000000000001E-3</v>
      </c>
      <c r="H14" s="6">
        <f>ROUND('Components UNIV HS &amp; FGP'!E14/'Components UNIV HS &amp; FGP'!$E$24,3)</f>
        <v>0.5</v>
      </c>
      <c r="I14" s="6">
        <f>ROUND('Components UNIV HS &amp; FGP'!F14/'Components UNIV HS &amp; FGP'!$F$24,3)</f>
        <v>8.9999999999999993E-3</v>
      </c>
      <c r="K14" s="6">
        <f>ROUND('Components UNIV HS &amp; FGP'!H14/'Components UNIV HS &amp; FGP'!H$24,3)</f>
        <v>6.0000000000000001E-3</v>
      </c>
      <c r="L14" s="6">
        <f>ROUND('Components UNIV HS &amp; FGP'!I14/'Components UNIV HS &amp; FGP'!I$24,3)</f>
        <v>6.0000000000000001E-3</v>
      </c>
      <c r="M14" s="6">
        <f>ROUND('Components UNIV HS &amp; FGP'!J14/'Components UNIV HS &amp; FGP'!J$24,3)</f>
        <v>1.2E-2</v>
      </c>
      <c r="N14" s="6">
        <f>ROUND('Components UNIV HS &amp; FGP'!K14/'Components UNIV HS &amp; FGP'!K$24,3)</f>
        <v>0.33300000000000002</v>
      </c>
      <c r="O14" s="6">
        <f>ROUND('Components UNIV HS &amp; FGP'!L14/'Components UNIV HS &amp; FGP'!L$24,3)</f>
        <v>1.7000000000000001E-2</v>
      </c>
      <c r="Q14" s="37" t="s">
        <v>110</v>
      </c>
      <c r="R14" s="6">
        <f>ROUND('Components UNIV HS &amp; FGP'!O14/'Components UNIV HS &amp; FGP'!O$24,3)</f>
        <v>1.4E-2</v>
      </c>
      <c r="S14" s="6">
        <f>ROUND('Components UNIV HS &amp; FGP'!P14/'Components UNIV HS &amp; FGP'!P$24,3)</f>
        <v>0.01</v>
      </c>
      <c r="T14" s="6">
        <f>ROUND('Components UNIV HS &amp; FGP'!Q14/'Components UNIV HS &amp; FGP'!Q$24,3)</f>
        <v>1.0999999999999999E-2</v>
      </c>
      <c r="U14" s="6">
        <f>ROUND('Components UNIV HS &amp; FGP'!R14/'Components UNIV HS &amp; FGP'!R$24,3)</f>
        <v>8.0000000000000002E-3</v>
      </c>
    </row>
    <row r="15" spans="1:21">
      <c r="A15" s="44" t="s">
        <v>45</v>
      </c>
      <c r="B15" s="44" t="s">
        <v>142</v>
      </c>
      <c r="C15" t="s">
        <v>162</v>
      </c>
      <c r="D15" t="s">
        <v>163</v>
      </c>
      <c r="E15" s="6">
        <f>ROUND('Components UNIV HS &amp; FGP'!B15/'Components UNIV HS &amp; FGP'!$B$24,3)</f>
        <v>7.0000000000000001E-3</v>
      </c>
      <c r="F15" s="6">
        <f>ROUND('Components UNIV HS &amp; FGP'!C15/'Components UNIV HS &amp; FGP'!$C$24,3)</f>
        <v>6.0000000000000001E-3</v>
      </c>
      <c r="G15" s="6">
        <f>ROUND('Components UNIV HS &amp; FGP'!D15/'Components UNIV HS &amp; FGP'!$D$24,3)</f>
        <v>0</v>
      </c>
      <c r="H15" s="6">
        <f>ROUND('Components UNIV HS &amp; FGP'!E15/'Components UNIV HS &amp; FGP'!$E$24,3)</f>
        <v>0</v>
      </c>
      <c r="I15" s="6">
        <f>ROUND('Components UNIV HS &amp; FGP'!F15/'Components UNIV HS &amp; FGP'!$F$24,3)</f>
        <v>0</v>
      </c>
      <c r="K15" s="6">
        <f>ROUND('Components UNIV HS &amp; FGP'!H15/'Components UNIV HS &amp; FGP'!H$24,3)</f>
        <v>6.0000000000000001E-3</v>
      </c>
      <c r="L15" s="6">
        <f>ROUND('Components UNIV HS &amp; FGP'!I15/'Components UNIV HS &amp; FGP'!I$24,3)</f>
        <v>6.0000000000000001E-3</v>
      </c>
      <c r="M15" s="6">
        <f>ROUND('Components UNIV HS &amp; FGP'!J15/'Components UNIV HS &amp; FGP'!J$24,3)</f>
        <v>0</v>
      </c>
      <c r="N15" s="6">
        <f>ROUND('Components UNIV HS &amp; FGP'!K15/'Components UNIV HS &amp; FGP'!K$24,3)</f>
        <v>0</v>
      </c>
      <c r="O15" s="6">
        <f>ROUND('Components UNIV HS &amp; FGP'!L15/'Components UNIV HS &amp; FGP'!L$24,3)</f>
        <v>0</v>
      </c>
      <c r="Q15" s="37" t="s">
        <v>111</v>
      </c>
      <c r="R15" s="6">
        <f>ROUND('Components UNIV HS &amp; FGP'!O15/'Components UNIV HS &amp; FGP'!O$24,3)</f>
        <v>1.4E-2</v>
      </c>
      <c r="S15" s="6">
        <f>ROUND('Components UNIV HS &amp; FGP'!P15/'Components UNIV HS &amp; FGP'!P$24,3)</f>
        <v>0.01</v>
      </c>
      <c r="T15" s="6">
        <f>ROUND('Components UNIV HS &amp; FGP'!Q15/'Components UNIV HS &amp; FGP'!Q$24,3)</f>
        <v>1.0999999999999999E-2</v>
      </c>
      <c r="U15" s="6">
        <f>ROUND('Components UNIV HS &amp; FGP'!R15/'Components UNIV HS &amp; FGP'!R$24,3)</f>
        <v>8.0000000000000002E-3</v>
      </c>
    </row>
    <row r="16" spans="1:21">
      <c r="A16" s="44" t="s">
        <v>46</v>
      </c>
      <c r="B16" s="44" t="s">
        <v>143</v>
      </c>
      <c r="C16" t="s">
        <v>162</v>
      </c>
      <c r="D16" t="s">
        <v>163</v>
      </c>
      <c r="E16" s="6">
        <f>ROUND('Components UNIV HS &amp; FGP'!B16/'Components UNIV HS &amp; FGP'!$B$24,3)</f>
        <v>7.0000000000000001E-3</v>
      </c>
      <c r="F16" s="6">
        <f>ROUND('Components UNIV HS &amp; FGP'!C16/'Components UNIV HS &amp; FGP'!$C$24,3)</f>
        <v>6.0000000000000001E-3</v>
      </c>
      <c r="G16" s="6">
        <f>ROUND('Components UNIV HS &amp; FGP'!D16/'Components UNIV HS &amp; FGP'!$D$24,3)</f>
        <v>0</v>
      </c>
      <c r="H16" s="6">
        <f>ROUND('Components UNIV HS &amp; FGP'!E16/'Components UNIV HS &amp; FGP'!$E$24,3)</f>
        <v>0</v>
      </c>
      <c r="I16" s="6">
        <f>ROUND('Components UNIV HS &amp; FGP'!F16/'Components UNIV HS &amp; FGP'!$F$24,3)</f>
        <v>0</v>
      </c>
      <c r="K16" s="6">
        <f>ROUND('Components UNIV HS &amp; FGP'!H16/'Components UNIV HS &amp; FGP'!H$24,3)</f>
        <v>6.0000000000000001E-3</v>
      </c>
      <c r="L16" s="6">
        <f>ROUND('Components UNIV HS &amp; FGP'!I16/'Components UNIV HS &amp; FGP'!I$24,3)</f>
        <v>6.0000000000000001E-3</v>
      </c>
      <c r="M16" s="6">
        <f>ROUND('Components UNIV HS &amp; FGP'!J16/'Components UNIV HS &amp; FGP'!J$24,3)</f>
        <v>0</v>
      </c>
      <c r="N16" s="6">
        <f>ROUND('Components UNIV HS &amp; FGP'!K16/'Components UNIV HS &amp; FGP'!K$24,3)</f>
        <v>0</v>
      </c>
      <c r="O16" s="6">
        <f>ROUND('Components UNIV HS &amp; FGP'!L16/'Components UNIV HS &amp; FGP'!L$24,3)</f>
        <v>0</v>
      </c>
      <c r="Q16" s="37" t="s">
        <v>112</v>
      </c>
      <c r="R16" s="6">
        <f>ROUND('Components UNIV HS &amp; FGP'!O16/'Components UNIV HS &amp; FGP'!O$24,3)</f>
        <v>2.1000000000000001E-2</v>
      </c>
      <c r="S16" s="6">
        <f>ROUND('Components UNIV HS &amp; FGP'!P16/'Components UNIV HS &amp; FGP'!P$24,3)</f>
        <v>1.4999999999999999E-2</v>
      </c>
      <c r="T16" s="6">
        <f>ROUND('Components UNIV HS &amp; FGP'!Q16/'Components UNIV HS &amp; FGP'!Q$24,3)</f>
        <v>1.6E-2</v>
      </c>
      <c r="U16" s="6">
        <f>ROUND('Components UNIV HS &amp; FGP'!R16/'Components UNIV HS &amp; FGP'!R$24,3)</f>
        <v>1.2999999999999999E-2</v>
      </c>
    </row>
    <row r="17" spans="1:21">
      <c r="A17" s="44" t="s">
        <v>47</v>
      </c>
      <c r="B17" s="45" t="s">
        <v>144</v>
      </c>
      <c r="C17" t="s">
        <v>162</v>
      </c>
      <c r="D17" t="s">
        <v>163</v>
      </c>
      <c r="E17" s="6">
        <f>ROUND('Components UNIV HS &amp; FGP'!B17/'Components UNIV HS &amp; FGP'!$B$24,3)</f>
        <v>4.0000000000000001E-3</v>
      </c>
      <c r="F17" s="6">
        <f>ROUND('Components UNIV HS &amp; FGP'!C17/'Components UNIV HS &amp; FGP'!$C$24,3)</f>
        <v>3.0000000000000001E-3</v>
      </c>
      <c r="G17" s="6">
        <f>ROUND('Components UNIV HS &amp; FGP'!D17/'Components UNIV HS &amp; FGP'!$D$24,3)</f>
        <v>6.0000000000000001E-3</v>
      </c>
      <c r="H17" s="6">
        <f>ROUND('Components UNIV HS &amp; FGP'!E17/'Components UNIV HS &amp; FGP'!$E$24,3)</f>
        <v>0</v>
      </c>
      <c r="I17" s="6">
        <f>ROUND('Components UNIV HS &amp; FGP'!F17/'Components UNIV HS &amp; FGP'!$F$24,3)</f>
        <v>0</v>
      </c>
      <c r="K17" s="6">
        <f>ROUND('Components UNIV HS &amp; FGP'!H17/'Components UNIV HS &amp; FGP'!H$24,3)</f>
        <v>6.0000000000000001E-3</v>
      </c>
      <c r="L17" s="6">
        <f>ROUND('Components UNIV HS &amp; FGP'!I17/'Components UNIV HS &amp; FGP'!I$24,3)</f>
        <v>6.0000000000000001E-3</v>
      </c>
      <c r="M17" s="6">
        <f>ROUND('Components UNIV HS &amp; FGP'!J17/'Components UNIV HS &amp; FGP'!J$24,3)</f>
        <v>6.0000000000000001E-3</v>
      </c>
      <c r="N17" s="6">
        <f>ROUND('Components UNIV HS &amp; FGP'!K17/'Components UNIV HS &amp; FGP'!K$24,3)</f>
        <v>0</v>
      </c>
      <c r="O17" s="6">
        <f>ROUND('Components UNIV HS &amp; FGP'!L17/'Components UNIV HS &amp; FGP'!L$24,3)</f>
        <v>0</v>
      </c>
      <c r="Q17" s="37" t="s">
        <v>113</v>
      </c>
      <c r="R17" s="6">
        <f>ROUND('Components UNIV HS &amp; FGP'!O17/'Components UNIV HS &amp; FGP'!O$24,3)</f>
        <v>7.0000000000000001E-3</v>
      </c>
      <c r="S17" s="6">
        <f>ROUND('Components UNIV HS &amp; FGP'!P17/'Components UNIV HS &amp; FGP'!P$24,3)</f>
        <v>5.0000000000000001E-3</v>
      </c>
      <c r="T17" s="6">
        <f>ROUND('Components UNIV HS &amp; FGP'!Q17/'Components UNIV HS &amp; FGP'!Q$24,3)</f>
        <v>5.0000000000000001E-3</v>
      </c>
      <c r="U17" s="6">
        <f>ROUND('Components UNIV HS &amp; FGP'!R17/'Components UNIV HS &amp; FGP'!R$24,3)</f>
        <v>4.0000000000000001E-3</v>
      </c>
    </row>
    <row r="18" spans="1:21">
      <c r="A18" s="44" t="s">
        <v>132</v>
      </c>
      <c r="B18" s="45" t="s">
        <v>145</v>
      </c>
      <c r="C18" t="s">
        <v>162</v>
      </c>
      <c r="D18" t="s">
        <v>163</v>
      </c>
      <c r="E18" s="6">
        <f>ROUND('Components UNIV HS &amp; FGP'!B18/'Components UNIV HS &amp; FGP'!$B$24,3)</f>
        <v>7.0000000000000001E-3</v>
      </c>
      <c r="F18" s="6">
        <f>ROUND('Components UNIV HS &amp; FGP'!C18/'Components UNIV HS &amp; FGP'!$C$24,3)</f>
        <v>6.0000000000000001E-3</v>
      </c>
      <c r="G18" s="6">
        <f>ROUND('Components UNIV HS &amp; FGP'!D18/'Components UNIV HS &amp; FGP'!$D$24,3)</f>
        <v>1.2999999999999999E-2</v>
      </c>
      <c r="H18" s="6">
        <f>ROUND('Components UNIV HS &amp; FGP'!E18/'Components UNIV HS &amp; FGP'!$E$24,3)</f>
        <v>0.5</v>
      </c>
      <c r="I18" s="6">
        <f>ROUND('Components UNIV HS &amp; FGP'!F18/'Components UNIV HS &amp; FGP'!$F$24,3)</f>
        <v>8.9999999999999993E-3</v>
      </c>
      <c r="K18" s="6">
        <f>ROUND('Components UNIV HS &amp; FGP'!H18/'Components UNIV HS &amp; FGP'!H$24,3)</f>
        <v>1.0999999999999999E-2</v>
      </c>
      <c r="L18" s="6">
        <f>ROUND('Components UNIV HS &amp; FGP'!I18/'Components UNIV HS &amp; FGP'!I$24,3)</f>
        <v>1.2E-2</v>
      </c>
      <c r="M18" s="6">
        <f>ROUND('Components UNIV HS &amp; FGP'!J18/'Components UNIV HS &amp; FGP'!J$24,3)</f>
        <v>1.9E-2</v>
      </c>
      <c r="N18" s="6">
        <f>ROUND('Components UNIV HS &amp; FGP'!K18/'Components UNIV HS &amp; FGP'!K$24,3)</f>
        <v>0.66700000000000004</v>
      </c>
      <c r="O18" s="6">
        <f>ROUND('Components UNIV HS &amp; FGP'!L18/'Components UNIV HS &amp; FGP'!L$24,3)</f>
        <v>3.4000000000000002E-2</v>
      </c>
      <c r="Q18" s="37" t="s">
        <v>114</v>
      </c>
      <c r="R18" s="6">
        <f>ROUND('Components UNIV HS &amp; FGP'!O18/'Components UNIV HS &amp; FGP'!O$24,3)</f>
        <v>1.4E-2</v>
      </c>
      <c r="S18" s="6">
        <f>ROUND('Components UNIV HS &amp; FGP'!P18/'Components UNIV HS &amp; FGP'!P$24,3)</f>
        <v>0.01</v>
      </c>
      <c r="T18" s="6">
        <f>ROUND('Components UNIV HS &amp; FGP'!Q18/'Components UNIV HS &amp; FGP'!Q$24,3)</f>
        <v>1.0999999999999999E-2</v>
      </c>
      <c r="U18" s="6">
        <f>ROUND('Components UNIV HS &amp; FGP'!R18/'Components UNIV HS &amp; FGP'!R$24,3)</f>
        <v>8.0000000000000002E-3</v>
      </c>
    </row>
    <row r="19" spans="1:21">
      <c r="A19" s="44" t="s">
        <v>56</v>
      </c>
      <c r="B19" s="45" t="s">
        <v>146</v>
      </c>
      <c r="C19" t="s">
        <v>162</v>
      </c>
      <c r="D19" t="s">
        <v>163</v>
      </c>
      <c r="E19" s="6">
        <f>ROUND('Components UNIV HS &amp; FGP'!B19/'Components UNIV HS &amp; FGP'!$B$24,3)</f>
        <v>4.0000000000000001E-3</v>
      </c>
      <c r="F19" s="6">
        <f>ROUND('Components UNIV HS &amp; FGP'!C19/'Components UNIV HS &amp; FGP'!$C$24,3)</f>
        <v>6.0000000000000001E-3</v>
      </c>
      <c r="G19" s="6">
        <f>ROUND('Components UNIV HS &amp; FGP'!D19/'Components UNIV HS &amp; FGP'!$D$24,3)</f>
        <v>0</v>
      </c>
      <c r="H19" s="6">
        <f>ROUND('Components UNIV HS &amp; FGP'!E19/'Components UNIV HS &amp; FGP'!$E$24,3)</f>
        <v>0</v>
      </c>
      <c r="I19" s="6">
        <f>ROUND('Components UNIV HS &amp; FGP'!F19/'Components UNIV HS &amp; FGP'!$F$24,3)</f>
        <v>0</v>
      </c>
      <c r="K19" s="6">
        <f>ROUND('Components UNIV HS &amp; FGP'!H19/'Components UNIV HS &amp; FGP'!H$24,3)</f>
        <v>6.0000000000000001E-3</v>
      </c>
      <c r="L19" s="6">
        <f>ROUND('Components UNIV HS &amp; FGP'!I19/'Components UNIV HS &amp; FGP'!I$24,3)</f>
        <v>6.0000000000000001E-3</v>
      </c>
      <c r="M19" s="6">
        <f>ROUND('Components UNIV HS &amp; FGP'!J19/'Components UNIV HS &amp; FGP'!J$24,3)</f>
        <v>0</v>
      </c>
      <c r="N19" s="6">
        <f>ROUND('Components UNIV HS &amp; FGP'!K19/'Components UNIV HS &amp; FGP'!K$24,3)</f>
        <v>0</v>
      </c>
      <c r="O19" s="6">
        <f>ROUND('Components UNIV HS &amp; FGP'!L19/'Components UNIV HS &amp; FGP'!L$24,3)</f>
        <v>0</v>
      </c>
      <c r="Q19" s="37" t="s">
        <v>115</v>
      </c>
      <c r="R19" s="6">
        <f>ROUND('Components UNIV HS &amp; FGP'!O19/'Components UNIV HS &amp; FGP'!O$24,3)</f>
        <v>7.0000000000000001E-3</v>
      </c>
      <c r="S19" s="6">
        <f>ROUND('Components UNIV HS &amp; FGP'!P19/'Components UNIV HS &amp; FGP'!P$24,3)</f>
        <v>5.0000000000000001E-3</v>
      </c>
      <c r="T19" s="6">
        <f>ROUND('Components UNIV HS &amp; FGP'!Q19/'Components UNIV HS &amp; FGP'!Q$24,3)</f>
        <v>5.0000000000000001E-3</v>
      </c>
      <c r="U19" s="6">
        <f>ROUND('Components UNIV HS &amp; FGP'!R19/'Components UNIV HS &amp; FGP'!R$24,3)</f>
        <v>4.0000000000000001E-3</v>
      </c>
    </row>
    <row r="20" spans="1:21">
      <c r="A20" s="44" t="s">
        <v>57</v>
      </c>
      <c r="B20" s="45" t="s">
        <v>147</v>
      </c>
      <c r="C20" t="s">
        <v>162</v>
      </c>
      <c r="D20" t="s">
        <v>163</v>
      </c>
      <c r="E20" s="6">
        <f>ROUND('Components UNIV HS &amp; FGP'!B20/'Components UNIV HS &amp; FGP'!$B$24,3)</f>
        <v>1.4999999999999999E-2</v>
      </c>
      <c r="F20" s="6">
        <f>ROUND('Components UNIV HS &amp; FGP'!C20/'Components UNIV HS &amp; FGP'!$C$24,3)</f>
        <v>0.02</v>
      </c>
      <c r="G20" s="6">
        <f>ROUND('Components UNIV HS &amp; FGP'!D20/'Components UNIV HS &amp; FGP'!$D$24,3)</f>
        <v>0</v>
      </c>
      <c r="H20" s="6">
        <f>ROUND('Components UNIV HS &amp; FGP'!E20/'Components UNIV HS &amp; FGP'!$E$24,3)</f>
        <v>0</v>
      </c>
      <c r="I20" s="6">
        <f>ROUND('Components UNIV HS &amp; FGP'!F20/'Components UNIV HS &amp; FGP'!$F$24,3)</f>
        <v>0</v>
      </c>
      <c r="K20" s="6">
        <f>ROUND('Components UNIV HS &amp; FGP'!H20/'Components UNIV HS &amp; FGP'!H$24,3)</f>
        <v>0.02</v>
      </c>
      <c r="L20" s="6">
        <f>ROUND('Components UNIV HS &amp; FGP'!I20/'Components UNIV HS &amp; FGP'!I$24,3)</f>
        <v>1.7000000000000001E-2</v>
      </c>
      <c r="M20" s="6">
        <f>ROUND('Components UNIV HS &amp; FGP'!J20/'Components UNIV HS &amp; FGP'!J$24,3)</f>
        <v>0</v>
      </c>
      <c r="N20" s="6">
        <f>ROUND('Components UNIV HS &amp; FGP'!K20/'Components UNIV HS &amp; FGP'!K$24,3)</f>
        <v>0</v>
      </c>
      <c r="O20" s="6">
        <f>ROUND('Components UNIV HS &amp; FGP'!L20/'Components UNIV HS &amp; FGP'!L$24,3)</f>
        <v>0</v>
      </c>
      <c r="Q20" s="37" t="s">
        <v>116</v>
      </c>
      <c r="R20" s="6">
        <f>ROUND('Components UNIV HS &amp; FGP'!O20/'Components UNIV HS &amp; FGP'!O$24,3)</f>
        <v>7.0000000000000001E-3</v>
      </c>
      <c r="S20" s="6">
        <f>ROUND('Components UNIV HS &amp; FGP'!P20/'Components UNIV HS &amp; FGP'!P$24,3)</f>
        <v>5.0000000000000001E-3</v>
      </c>
      <c r="T20" s="6">
        <f>ROUND('Components UNIV HS &amp; FGP'!Q20/'Components UNIV HS &amp; FGP'!Q$24,3)</f>
        <v>5.0000000000000001E-3</v>
      </c>
      <c r="U20" s="6">
        <f>ROUND('Components UNIV HS &amp; FGP'!R20/'Components UNIV HS &amp; FGP'!R$24,3)</f>
        <v>4.0000000000000001E-3</v>
      </c>
    </row>
    <row r="21" spans="1:21">
      <c r="A21" s="44" t="s">
        <v>52</v>
      </c>
      <c r="B21" s="45" t="s">
        <v>148</v>
      </c>
      <c r="C21" t="s">
        <v>162</v>
      </c>
      <c r="D21" t="s">
        <v>163</v>
      </c>
      <c r="E21" s="6">
        <f>ROUND('Components UNIV HS &amp; FGP'!B21/'Components UNIV HS &amp; FGP'!$B$24,3)</f>
        <v>0</v>
      </c>
      <c r="F21" s="6">
        <f>ROUND('Components UNIV HS &amp; FGP'!C21/'Components UNIV HS &amp; FGP'!$C$24,3)</f>
        <v>0</v>
      </c>
      <c r="G21" s="6">
        <f>ROUND('Components UNIV HS &amp; FGP'!D21/'Components UNIV HS &amp; FGP'!$D$24,3)</f>
        <v>0</v>
      </c>
      <c r="H21" s="6">
        <f>ROUND('Components UNIV HS &amp; FGP'!E21/'Components UNIV HS &amp; FGP'!$E$24,3)</f>
        <v>0</v>
      </c>
      <c r="I21" s="6">
        <f>ROUND('Components UNIV HS &amp; FGP'!F21/'Components UNIV HS &amp; FGP'!$F$24,3)-0.001</f>
        <v>0.98199999999999998</v>
      </c>
      <c r="K21" s="6">
        <f>ROUND('Components UNIV HS &amp; FGP'!H21/'Components UNIV HS &amp; FGP'!H$24,3)</f>
        <v>0</v>
      </c>
      <c r="L21" s="6">
        <f>ROUND('Components UNIV HS &amp; FGP'!I21/'Components UNIV HS &amp; FGP'!I$24,3)</f>
        <v>0</v>
      </c>
      <c r="M21" s="6">
        <f>ROUND('Components UNIV HS &amp; FGP'!J21/'Components UNIV HS &amp; FGP'!J$24,3)</f>
        <v>0</v>
      </c>
      <c r="N21" s="6">
        <f>ROUND('Components UNIV HS &amp; FGP'!K21/'Components UNIV HS &amp; FGP'!K$24,3)</f>
        <v>0</v>
      </c>
      <c r="O21" s="6">
        <f>ROUND('Components UNIV HS &amp; FGP'!L21/'Components UNIV HS &amp; FGP'!L$24,3)</f>
        <v>0.94899999999999995</v>
      </c>
      <c r="Q21" s="37" t="s">
        <v>117</v>
      </c>
      <c r="R21" s="6">
        <f>ROUND('Components UNIV HS &amp; FGP'!O21/'Components UNIV HS &amp; FGP'!O$24,3)</f>
        <v>0</v>
      </c>
      <c r="S21" s="6">
        <f>ROUND('Components UNIV HS &amp; FGP'!P21/'Components UNIV HS &amp; FGP'!P$24,3)</f>
        <v>0</v>
      </c>
      <c r="T21" s="6">
        <f>ROUND('Components UNIV HS &amp; FGP'!Q21/'Components UNIV HS &amp; FGP'!Q$24,3)</f>
        <v>0</v>
      </c>
      <c r="U21" s="6">
        <f>ROUND('Components UNIV HS &amp; FGP'!R21/'Components UNIV HS &amp; FGP'!R$24,3)</f>
        <v>0</v>
      </c>
    </row>
    <row r="22" spans="1:21">
      <c r="A22" s="44" t="s">
        <v>58</v>
      </c>
      <c r="B22" s="45" t="s">
        <v>149</v>
      </c>
      <c r="C22" t="s">
        <v>162</v>
      </c>
      <c r="D22" t="s">
        <v>163</v>
      </c>
      <c r="E22" s="6">
        <f>ROUND('Components UNIV HS &amp; FGP'!B22/'Components UNIV HS &amp; FGP'!$B$24,3)</f>
        <v>0.03</v>
      </c>
      <c r="F22" s="6">
        <f>ROUND('Components UNIV HS &amp; FGP'!C22/'Components UNIV HS &amp; FGP'!$C$24,3)</f>
        <v>0.04</v>
      </c>
      <c r="G22" s="6">
        <f>ROUND('Components UNIV HS &amp; FGP'!D22/'Components UNIV HS &amp; FGP'!$D$24,3)</f>
        <v>0</v>
      </c>
      <c r="H22" s="6">
        <f>ROUND('Components UNIV HS &amp; FGP'!E22/'Components UNIV HS &amp; FGP'!$E$24,3)</f>
        <v>0</v>
      </c>
      <c r="I22" s="6">
        <f>ROUND('Components UNIV HS &amp; FGP'!F22/'Components UNIV HS &amp; FGP'!$F$24,3)</f>
        <v>0</v>
      </c>
      <c r="K22" s="6">
        <f>ROUND('Components UNIV HS &amp; FGP'!H22/'Components UNIV HS &amp; FGP'!H$24,3)</f>
        <v>4.2000000000000003E-2</v>
      </c>
      <c r="L22" s="6">
        <f>ROUND('Components UNIV HS &amp; FGP'!I22/'Components UNIV HS &amp; FGP'!I$24,3)</f>
        <v>4.1000000000000002E-2</v>
      </c>
      <c r="M22" s="6">
        <f>ROUND('Components UNIV HS &amp; FGP'!J22/'Components UNIV HS &amp; FGP'!J$24,3)</f>
        <v>0</v>
      </c>
      <c r="N22" s="6">
        <f>ROUND('Components UNIV HS &amp; FGP'!K22/'Components UNIV HS &amp; FGP'!K$24,3)</f>
        <v>0</v>
      </c>
      <c r="O22" s="6">
        <f>ROUND('Components UNIV HS &amp; FGP'!L22/'Components UNIV HS &amp; FGP'!L$24,3)</f>
        <v>0</v>
      </c>
      <c r="Q22" s="37" t="s">
        <v>118</v>
      </c>
      <c r="R22" s="6">
        <f>ROUND('Components UNIV HS &amp; FGP'!O22/'Components UNIV HS &amp; FGP'!O$24,3)</f>
        <v>1.4E-2</v>
      </c>
      <c r="S22" s="6">
        <f>ROUND('Components UNIV HS &amp; FGP'!P22/'Components UNIV HS &amp; FGP'!P$24,3)</f>
        <v>0.01</v>
      </c>
      <c r="T22" s="6">
        <f>ROUND('Components UNIV HS &amp; FGP'!Q22/'Components UNIV HS &amp; FGP'!Q$24,3)</f>
        <v>1.0999999999999999E-2</v>
      </c>
      <c r="U22" s="6">
        <f>ROUND('Components UNIV HS &amp; FGP'!R22/'Components UNIV HS &amp; FGP'!R$24,3)</f>
        <v>8.0000000000000002E-3</v>
      </c>
    </row>
    <row r="23" spans="1:21">
      <c r="A23" s="44" t="s">
        <v>119</v>
      </c>
      <c r="B23" s="45" t="s">
        <v>153</v>
      </c>
      <c r="C23" t="s">
        <v>162</v>
      </c>
      <c r="D23" t="s">
        <v>163</v>
      </c>
      <c r="E23" s="6">
        <f>ROUND('Components UNIV HS &amp; FGP'!B23/'Components UNIV HS &amp; FGP'!$B$24,3)</f>
        <v>1.0999999999999999E-2</v>
      </c>
      <c r="F23" s="6">
        <f>ROUND('Components UNIV HS &amp; FGP'!C23/'Components UNIV HS &amp; FGP'!$C$24,3)</f>
        <v>1.7000000000000001E-2</v>
      </c>
      <c r="G23" s="6">
        <f>ROUND('Components UNIV HS &amp; FGP'!D23/'Components UNIV HS &amp; FGP'!$D$24,3)</f>
        <v>0</v>
      </c>
      <c r="H23" s="6">
        <f>ROUND('Components UNIV HS &amp; FGP'!E23/'Components UNIV HS &amp; FGP'!$E$24,3)</f>
        <v>0</v>
      </c>
      <c r="I23" s="6">
        <f>ROUND('Components UNIV HS &amp; FGP'!F23/'Components UNIV HS &amp; FGP'!$F$24,3)</f>
        <v>0</v>
      </c>
      <c r="K23" s="6">
        <f>ROUND('Components UNIV HS &amp; FGP'!H23/'Components UNIV HS &amp; FGP'!H$24,3)</f>
        <v>1.4E-2</v>
      </c>
      <c r="L23" s="6">
        <f>ROUND('Components UNIV HS &amp; FGP'!I23/'Components UNIV HS &amp; FGP'!I$24,3)</f>
        <v>1.4999999999999999E-2</v>
      </c>
      <c r="M23" s="6">
        <f>ROUND('Components UNIV HS &amp; FGP'!J23/'Components UNIV HS &amp; FGP'!J$24,3)</f>
        <v>0</v>
      </c>
      <c r="N23" s="6">
        <f>ROUND('Components UNIV HS &amp; FGP'!K23/'Components UNIV HS &amp; FGP'!K$24,3)</f>
        <v>0</v>
      </c>
      <c r="O23" s="6">
        <f>ROUND('Components UNIV HS &amp; FGP'!L23/'Components UNIV HS &amp; FGP'!L$24,3)</f>
        <v>0</v>
      </c>
      <c r="Q23" s="37" t="s">
        <v>119</v>
      </c>
      <c r="R23" s="6">
        <f>ROUND('Components UNIV HS &amp; FGP'!O23/'Components UNIV HS &amp; FGP'!O$24,3)</f>
        <v>7.0000000000000001E-3</v>
      </c>
      <c r="S23" s="6">
        <f>ROUND('Components UNIV HS &amp; FGP'!P23/'Components UNIV HS &amp; FGP'!P$24,3)</f>
        <v>5.0000000000000001E-3</v>
      </c>
      <c r="T23" s="6">
        <f>ROUND('Components UNIV HS &amp; FGP'!Q23/'Components UNIV HS &amp; FGP'!Q$24,3)</f>
        <v>5.0000000000000001E-3</v>
      </c>
      <c r="U23" s="6">
        <f>ROUND('Components UNIV HS &amp; FGP'!R23/'Components UNIV HS &amp; FGP'!R$24,3)</f>
        <v>4.0000000000000001E-3</v>
      </c>
    </row>
    <row r="24" spans="1:21">
      <c r="A24" s="52" t="s">
        <v>151</v>
      </c>
      <c r="B24" s="51"/>
      <c r="C24" s="51"/>
      <c r="D24" s="51"/>
      <c r="E24" s="53">
        <f>SUM(E5:E11,E14:E23)</f>
        <v>1.0000000000000002</v>
      </c>
      <c r="F24" s="53">
        <f>SUM(F5:F11,F14:F23)</f>
        <v>1</v>
      </c>
      <c r="G24" s="53">
        <f>SUM(G5:G11,G14:G23)</f>
        <v>1</v>
      </c>
      <c r="H24" s="53">
        <f>SUM(H5:H11,H14:H23)</f>
        <v>1</v>
      </c>
      <c r="I24" s="53">
        <f>SUM(I5:I11,I14:I23)</f>
        <v>1</v>
      </c>
      <c r="K24" s="53">
        <f>SUM(K5:K11,K14:K23)</f>
        <v>1.0000000000000002</v>
      </c>
      <c r="L24" s="53">
        <f t="shared" ref="L24:O24" si="3">SUM(L5:L11,L14:L23)</f>
        <v>1</v>
      </c>
      <c r="M24" s="53">
        <f t="shared" si="3"/>
        <v>1</v>
      </c>
      <c r="N24" s="53">
        <f t="shared" si="3"/>
        <v>1</v>
      </c>
      <c r="O24" s="53">
        <f t="shared" si="3"/>
        <v>1</v>
      </c>
      <c r="R24" s="53">
        <f t="shared" ref="R24:U24" si="4">SUM(R5:R11,R14:R23)</f>
        <v>1</v>
      </c>
      <c r="S24" s="53">
        <f t="shared" si="4"/>
        <v>1.0000000000000002</v>
      </c>
      <c r="T24" s="53">
        <f t="shared" si="4"/>
        <v>1</v>
      </c>
      <c r="U24" s="53">
        <f t="shared" si="4"/>
        <v>1</v>
      </c>
    </row>
    <row r="25" spans="1:21">
      <c r="A25" s="39"/>
      <c r="B25" s="39"/>
      <c r="C25" s="39"/>
      <c r="D25" s="39"/>
      <c r="E25" s="6"/>
      <c r="F25" s="6"/>
      <c r="G25" s="6"/>
      <c r="H25" s="6"/>
      <c r="I25" s="6"/>
      <c r="K25" s="6"/>
      <c r="L25" s="6"/>
      <c r="M25" s="6"/>
      <c r="N25" s="6"/>
      <c r="O25" s="6"/>
      <c r="R25" s="6"/>
      <c r="S25" s="6"/>
      <c r="T25" s="6"/>
      <c r="U25" s="6"/>
    </row>
    <row r="26" spans="1:21">
      <c r="A26" s="52" t="s">
        <v>152</v>
      </c>
      <c r="B26" s="51"/>
      <c r="C26" s="51"/>
      <c r="D26" s="51"/>
      <c r="E26" s="6">
        <v>1</v>
      </c>
      <c r="F26" s="6">
        <v>1</v>
      </c>
      <c r="G26" s="6">
        <v>1</v>
      </c>
      <c r="H26" s="6">
        <v>1</v>
      </c>
      <c r="I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R26" s="6">
        <v>1</v>
      </c>
      <c r="S26" s="6">
        <v>1</v>
      </c>
      <c r="T26" s="6">
        <v>1</v>
      </c>
      <c r="U26" s="6">
        <v>1</v>
      </c>
    </row>
    <row r="28" spans="1:21">
      <c r="E28" s="43">
        <f>E26-E24</f>
        <v>0</v>
      </c>
      <c r="F28" s="43">
        <f t="shared" ref="F28:O28" si="5">F26-F24</f>
        <v>0</v>
      </c>
      <c r="G28" s="43">
        <f t="shared" si="5"/>
        <v>0</v>
      </c>
      <c r="H28" s="43">
        <f t="shared" si="5"/>
        <v>0</v>
      </c>
      <c r="I28" s="43">
        <f t="shared" si="5"/>
        <v>0</v>
      </c>
      <c r="J28" s="43"/>
      <c r="K28" s="43">
        <f t="shared" si="5"/>
        <v>0</v>
      </c>
      <c r="L28" s="43">
        <f t="shared" si="5"/>
        <v>0</v>
      </c>
      <c r="M28" s="43">
        <f t="shared" si="5"/>
        <v>0</v>
      </c>
      <c r="N28" s="43">
        <f t="shared" si="5"/>
        <v>0</v>
      </c>
      <c r="O28" s="43">
        <f t="shared" si="5"/>
        <v>0</v>
      </c>
      <c r="R28" s="43">
        <f t="shared" ref="R28:U28" si="6">R26-R24</f>
        <v>0</v>
      </c>
      <c r="S28" s="43">
        <f t="shared" si="6"/>
        <v>0</v>
      </c>
      <c r="T28" s="43">
        <f t="shared" si="6"/>
        <v>0</v>
      </c>
      <c r="U28" s="43">
        <f t="shared" si="6"/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C1743-0BE9-46A4-A7FB-3DF9D4601020}">
  <dimension ref="A2:K29"/>
  <sheetViews>
    <sheetView workbookViewId="0">
      <selection activeCell="E22" sqref="E22"/>
    </sheetView>
  </sheetViews>
  <sheetFormatPr defaultRowHeight="12.75"/>
  <cols>
    <col min="1" max="1" width="23.140625" bestFit="1" customWidth="1"/>
    <col min="2" max="5" width="10.7109375" customWidth="1"/>
    <col min="6" max="6" width="3.5703125" customWidth="1"/>
    <col min="7" max="11" width="10.7109375" customWidth="1"/>
  </cols>
  <sheetData>
    <row r="2" spans="1:11">
      <c r="B2" s="42" t="s">
        <v>97</v>
      </c>
      <c r="C2" s="41"/>
      <c r="D2" s="41"/>
      <c r="E2" s="41"/>
      <c r="G2" s="42"/>
      <c r="H2" s="41"/>
      <c r="I2" s="41"/>
      <c r="J2" s="41"/>
      <c r="K2" s="41"/>
    </row>
    <row r="3" spans="1:11">
      <c r="B3" s="2" t="s">
        <v>9</v>
      </c>
      <c r="C3" s="2" t="s">
        <v>122</v>
      </c>
      <c r="D3" s="2" t="s">
        <v>11</v>
      </c>
      <c r="E3" s="2" t="s">
        <v>126</v>
      </c>
      <c r="G3" s="2" t="s">
        <v>97</v>
      </c>
      <c r="H3" s="2"/>
      <c r="I3" s="2"/>
      <c r="J3" s="2"/>
      <c r="K3" s="2"/>
    </row>
    <row r="4" spans="1:11">
      <c r="B4" s="2" t="s">
        <v>17</v>
      </c>
      <c r="C4" s="2" t="s">
        <v>95</v>
      </c>
      <c r="D4" s="2" t="s">
        <v>22</v>
      </c>
      <c r="E4" s="2" t="s">
        <v>24</v>
      </c>
      <c r="G4" s="2" t="s">
        <v>98</v>
      </c>
      <c r="H4" s="2"/>
      <c r="I4" s="2"/>
      <c r="J4" s="2"/>
      <c r="K4" s="2"/>
    </row>
    <row r="5" spans="1:11">
      <c r="A5" s="36" t="s">
        <v>40</v>
      </c>
      <c r="B5" s="6">
        <f>ROUND((fy23_summary_bnft_projection!D55/fy23_summary_bnft_projection!$D$74),3)</f>
        <v>0.14099999999999999</v>
      </c>
      <c r="C5" s="6">
        <v>0</v>
      </c>
      <c r="D5" s="6">
        <f>ROUND((fy23_summary_bnft_projection!G55/fy23_summary_bnft_projection!$G$74),3)</f>
        <v>0.14099999999999999</v>
      </c>
      <c r="E5" s="6">
        <f>ROUND((fy23_summary_bnft_projection!I55/fy23_summary_bnft_projection!$I$74),3)</f>
        <v>0</v>
      </c>
      <c r="G5" s="6">
        <f>D5</f>
        <v>0.14099999999999999</v>
      </c>
      <c r="H5" s="6" t="s">
        <v>128</v>
      </c>
      <c r="I5" s="6"/>
      <c r="J5" s="6"/>
      <c r="K5" s="6"/>
    </row>
    <row r="6" spans="1:11">
      <c r="A6" s="37" t="s">
        <v>42</v>
      </c>
      <c r="B6" s="6">
        <f>ROUND((fy23_summary_bnft_projection!D56/fy23_summary_bnft_projection!$D$74),3)</f>
        <v>0</v>
      </c>
      <c r="C6" s="6">
        <v>0.14099999999999999</v>
      </c>
      <c r="D6" s="6">
        <f>ROUND((fy23_summary_bnft_projection!G56/fy23_summary_bnft_projection!$G$74),3)</f>
        <v>0</v>
      </c>
      <c r="E6" s="6">
        <f>ROUND((fy23_summary_bnft_projection!I56/fy23_summary_bnft_projection!$I$74),3)</f>
        <v>0</v>
      </c>
      <c r="G6" s="6">
        <f t="shared" ref="G6:G22" si="0">D6</f>
        <v>0</v>
      </c>
      <c r="H6" s="6"/>
      <c r="I6" s="6"/>
      <c r="J6" s="6"/>
      <c r="K6" s="6"/>
    </row>
    <row r="7" spans="1:11">
      <c r="A7" s="37" t="s">
        <v>103</v>
      </c>
      <c r="B7" s="6">
        <f>ROUND((fy23_summary_bnft_projection!D57/fy23_summary_bnft_projection!$D$74),3)</f>
        <v>1.4E-2</v>
      </c>
      <c r="C7" s="6">
        <v>1.4E-2</v>
      </c>
      <c r="D7" s="6">
        <f>ROUND((fy23_summary_bnft_projection!G57/fy23_summary_bnft_projection!$G$74),3)-0.002</f>
        <v>1.2E-2</v>
      </c>
      <c r="E7" s="6">
        <f>ROUND((fy23_summary_bnft_projection!I57/fy23_summary_bnft_projection!$I$74),3)</f>
        <v>0</v>
      </c>
      <c r="G7" s="6">
        <f t="shared" si="0"/>
        <v>1.2E-2</v>
      </c>
      <c r="H7" s="6"/>
      <c r="I7" s="6"/>
      <c r="J7" s="6"/>
      <c r="K7" s="6"/>
    </row>
    <row r="8" spans="1:11">
      <c r="A8" s="48" t="s">
        <v>104</v>
      </c>
      <c r="B8" s="46">
        <f>ROUND(0.887*$B$13,3)</f>
        <v>0.09</v>
      </c>
      <c r="C8" s="46">
        <f>ROUND(0.887*$C$13,3)</f>
        <v>0.16900000000000001</v>
      </c>
      <c r="D8" s="46">
        <v>0</v>
      </c>
      <c r="E8" s="46">
        <v>0</v>
      </c>
      <c r="F8" s="47"/>
      <c r="G8" s="46">
        <f t="shared" si="0"/>
        <v>0</v>
      </c>
      <c r="H8" s="6"/>
      <c r="I8" s="6"/>
      <c r="J8" s="6"/>
      <c r="K8" s="6"/>
    </row>
    <row r="9" spans="1:11">
      <c r="A9" s="48" t="s">
        <v>105</v>
      </c>
      <c r="B9" s="46">
        <f>ROUND(0.092*$B$13,3)</f>
        <v>8.9999999999999993E-3</v>
      </c>
      <c r="C9" s="46">
        <f>ROUND(0.092*$C$13,3)</f>
        <v>1.7000000000000001E-2</v>
      </c>
      <c r="D9" s="46">
        <v>0</v>
      </c>
      <c r="E9" s="46">
        <v>0</v>
      </c>
      <c r="F9" s="47"/>
      <c r="G9" s="46">
        <f t="shared" si="0"/>
        <v>0</v>
      </c>
      <c r="H9" s="6"/>
      <c r="I9" s="6"/>
      <c r="J9" s="6"/>
      <c r="K9" s="6"/>
    </row>
    <row r="10" spans="1:11">
      <c r="A10" s="48" t="s">
        <v>106</v>
      </c>
      <c r="B10" s="46">
        <f>ROUND(0.009*$B$13,3)</f>
        <v>1E-3</v>
      </c>
      <c r="C10" s="46">
        <f>ROUND(0.009*$C$13,3)</f>
        <v>2E-3</v>
      </c>
      <c r="D10" s="46">
        <v>0</v>
      </c>
      <c r="E10" s="46">
        <v>0</v>
      </c>
      <c r="F10" s="47"/>
      <c r="G10" s="46">
        <f t="shared" si="0"/>
        <v>0</v>
      </c>
      <c r="H10" s="6"/>
      <c r="I10" s="6"/>
      <c r="J10" s="6"/>
      <c r="K10" s="6"/>
    </row>
    <row r="11" spans="1:11">
      <c r="A11" s="48" t="s">
        <v>107</v>
      </c>
      <c r="B11" s="46">
        <f>ROUND(0.012*$B$13,3)</f>
        <v>1E-3</v>
      </c>
      <c r="C11" s="46">
        <f>ROUND(0.012*$C$13,3)</f>
        <v>2E-3</v>
      </c>
      <c r="D11" s="46">
        <v>0</v>
      </c>
      <c r="E11" s="46">
        <v>0</v>
      </c>
      <c r="F11" s="47"/>
      <c r="G11" s="46">
        <f t="shared" si="0"/>
        <v>0</v>
      </c>
      <c r="H11" s="6"/>
      <c r="I11" s="6"/>
      <c r="J11" s="6"/>
      <c r="K11" s="6"/>
    </row>
    <row r="12" spans="1:11">
      <c r="A12" s="48" t="s">
        <v>108</v>
      </c>
      <c r="B12" s="46">
        <f>SUM(B8:B11)</f>
        <v>0.10099999999999999</v>
      </c>
      <c r="C12" s="46">
        <f t="shared" ref="C12:E12" si="1">SUM(C8:C11)</f>
        <v>0.19</v>
      </c>
      <c r="D12" s="46">
        <f t="shared" si="1"/>
        <v>0</v>
      </c>
      <c r="E12" s="46">
        <f t="shared" si="1"/>
        <v>0</v>
      </c>
      <c r="F12" s="47"/>
      <c r="G12" s="46">
        <f t="shared" si="0"/>
        <v>0</v>
      </c>
      <c r="H12" s="6"/>
      <c r="I12" s="6"/>
      <c r="J12" s="6"/>
      <c r="K12" s="6"/>
    </row>
    <row r="13" spans="1:11">
      <c r="A13" s="37" t="s">
        <v>109</v>
      </c>
      <c r="B13" s="6">
        <f>ROUND(((fy23_summary_bnft_projection!D65+fy23_summary_bnft_projection!D66)/fy23_summary_bnft_projection!$D$74),3)+0.008</f>
        <v>0.10100000000000001</v>
      </c>
      <c r="C13" s="6">
        <v>0.19</v>
      </c>
      <c r="D13" s="6">
        <f>ROUND(((fy23_summary_bnft_projection!G65+fy23_summary_bnft_projection!G66)/fy23_summary_bnft_projection!$G$74),3)</f>
        <v>0</v>
      </c>
      <c r="E13" s="6">
        <v>0</v>
      </c>
      <c r="G13" s="6">
        <f t="shared" si="0"/>
        <v>0</v>
      </c>
      <c r="H13" s="6"/>
      <c r="I13" s="6"/>
      <c r="J13" s="6"/>
      <c r="K13" s="6"/>
    </row>
    <row r="14" spans="1:11">
      <c r="A14" s="37" t="s">
        <v>110</v>
      </c>
      <c r="B14" s="6">
        <f>ROUND((fy23_summary_bnft_projection!D63/fy23_summary_bnft_projection!$D$74),3)</f>
        <v>2E-3</v>
      </c>
      <c r="C14" s="6">
        <v>0</v>
      </c>
      <c r="D14" s="6">
        <f>ROUND((fy23_summary_bnft_projection!G63/fy23_summary_bnft_projection!$G$74),3)-0.001</f>
        <v>1E-3</v>
      </c>
      <c r="E14" s="6">
        <f>ROUND((fy23_summary_bnft_projection!I63/fy23_summary_bnft_projection!$I$74),3)</f>
        <v>3.0000000000000001E-3</v>
      </c>
      <c r="G14" s="6">
        <f t="shared" si="0"/>
        <v>1E-3</v>
      </c>
      <c r="H14" s="6"/>
      <c r="I14" s="6"/>
      <c r="J14" s="6"/>
      <c r="K14" s="6"/>
    </row>
    <row r="15" spans="1:11">
      <c r="A15" s="37" t="s">
        <v>111</v>
      </c>
      <c r="B15" s="6">
        <f>ROUND((fy23_summary_bnft_projection!D58/fy23_summary_bnft_projection!$D$74),3)</f>
        <v>2E-3</v>
      </c>
      <c r="C15" s="6">
        <v>2E-3</v>
      </c>
      <c r="D15" s="6">
        <f>ROUND((fy23_summary_bnft_projection!G58/fy23_summary_bnft_projection!$G$74),3)</f>
        <v>0</v>
      </c>
      <c r="E15" s="6">
        <f>ROUND((fy23_summary_bnft_projection!I58/fy23_summary_bnft_projection!$I$74),3)</f>
        <v>0</v>
      </c>
      <c r="G15" s="6">
        <f t="shared" si="0"/>
        <v>0</v>
      </c>
      <c r="H15" s="6"/>
      <c r="I15" s="6"/>
      <c r="J15" s="6"/>
      <c r="K15" s="6"/>
    </row>
    <row r="16" spans="1:11">
      <c r="A16" s="37" t="s">
        <v>112</v>
      </c>
      <c r="B16" s="6">
        <f>ROUND((fy23_summary_bnft_projection!D59/fy23_summary_bnft_projection!$D$74),3)</f>
        <v>2E-3</v>
      </c>
      <c r="C16" s="6">
        <v>3.0000000000000001E-3</v>
      </c>
      <c r="D16" s="6">
        <f>ROUND((fy23_summary_bnft_projection!G59/fy23_summary_bnft_projection!$G$74),3)</f>
        <v>0</v>
      </c>
      <c r="E16" s="6">
        <f>ROUND((fy23_summary_bnft_projection!I59/fy23_summary_bnft_projection!$I$74),3)</f>
        <v>0</v>
      </c>
      <c r="G16" s="6">
        <f t="shared" si="0"/>
        <v>0</v>
      </c>
      <c r="H16" s="6"/>
      <c r="I16" s="6"/>
      <c r="J16" s="6"/>
      <c r="K16" s="6"/>
    </row>
    <row r="17" spans="1:11">
      <c r="A17" s="37" t="s">
        <v>113</v>
      </c>
      <c r="B17" s="6">
        <f>ROUND((fy23_summary_bnft_projection!D60/fy23_summary_bnft_projection!$D$74),3)</f>
        <v>1E-3</v>
      </c>
      <c r="C17" s="6">
        <v>1E-3</v>
      </c>
      <c r="D17" s="6">
        <f>ROUND((fy23_summary_bnft_projection!G60/fy23_summary_bnft_projection!$G$74),3)</f>
        <v>1E-3</v>
      </c>
      <c r="E17" s="6">
        <f>ROUND((fy23_summary_bnft_projection!I60/fy23_summary_bnft_projection!$I$74),3)</f>
        <v>0</v>
      </c>
      <c r="G17" s="6">
        <f t="shared" si="0"/>
        <v>1E-3</v>
      </c>
      <c r="H17" s="6"/>
      <c r="I17" s="6"/>
      <c r="J17" s="6"/>
      <c r="K17" s="6"/>
    </row>
    <row r="18" spans="1:11">
      <c r="A18" s="37" t="s">
        <v>114</v>
      </c>
      <c r="B18" s="6">
        <f>ROUND((fy23_summary_bnft_projection!D61/fy23_summary_bnft_projection!$D$74),3)</f>
        <v>2E-3</v>
      </c>
      <c r="C18" s="6">
        <v>2E-3</v>
      </c>
      <c r="D18" s="6">
        <f>ROUND((fy23_summary_bnft_projection!G61/fy23_summary_bnft_projection!$G$74),3)-0.001</f>
        <v>1E-3</v>
      </c>
      <c r="E18" s="6">
        <f>ROUND((fy23_summary_bnft_projection!I61/fy23_summary_bnft_projection!$I$74),3)</f>
        <v>2E-3</v>
      </c>
      <c r="G18" s="6">
        <f t="shared" si="0"/>
        <v>1E-3</v>
      </c>
      <c r="H18" s="6"/>
      <c r="I18" s="6"/>
      <c r="J18" s="6"/>
      <c r="K18" s="6"/>
    </row>
    <row r="19" spans="1:11">
      <c r="A19" s="37" t="s">
        <v>115</v>
      </c>
      <c r="B19" s="6">
        <f>ROUND((fy23_summary_bnft_projection!D67/fy23_summary_bnft_projection!$D$74),3)+0.001</f>
        <v>1E-3</v>
      </c>
      <c r="C19" s="6">
        <v>1E-3</v>
      </c>
      <c r="D19" s="6">
        <f>ROUND((fy23_summary_bnft_projection!G67/fy23_summary_bnft_projection!$G$74),3)</f>
        <v>0</v>
      </c>
      <c r="E19" s="6">
        <f>ROUND((fy23_summary_bnft_projection!I67/fy23_summary_bnft_projection!$I$74),3)</f>
        <v>0</v>
      </c>
      <c r="G19" s="6">
        <f t="shared" si="0"/>
        <v>0</v>
      </c>
      <c r="H19" s="6"/>
      <c r="I19" s="6"/>
      <c r="J19" s="6"/>
      <c r="K19" s="6"/>
    </row>
    <row r="20" spans="1:11">
      <c r="A20" s="37" t="s">
        <v>116</v>
      </c>
      <c r="B20" s="6">
        <f>ROUND((fy23_summary_bnft_projection!D68/fy23_summary_bnft_projection!$D$74),3)</f>
        <v>4.0000000000000001E-3</v>
      </c>
      <c r="C20" s="6">
        <v>5.0000000000000001E-3</v>
      </c>
      <c r="D20" s="6">
        <f>ROUND((fy23_summary_bnft_projection!G68/fy23_summary_bnft_projection!$G$74),3)</f>
        <v>0</v>
      </c>
      <c r="E20" s="6">
        <f>ROUND((fy23_summary_bnft_projection!I68/fy23_summary_bnft_projection!$I$74),3)</f>
        <v>0</v>
      </c>
      <c r="G20" s="6">
        <f t="shared" si="0"/>
        <v>0</v>
      </c>
      <c r="H20" s="6"/>
      <c r="I20" s="6"/>
      <c r="J20" s="6"/>
      <c r="K20" s="6"/>
    </row>
    <row r="21" spans="1:11">
      <c r="A21" s="37" t="s">
        <v>117</v>
      </c>
      <c r="B21" s="6">
        <f>ROUND((fy23_summary_bnft_projection!D64/fy23_summary_bnft_projection!$D$74),3)</f>
        <v>0</v>
      </c>
      <c r="C21" s="6">
        <v>0</v>
      </c>
      <c r="D21" s="6">
        <f>ROUND((fy23_summary_bnft_projection!G64/fy23_summary_bnft_projection!$G$74),3)</f>
        <v>0</v>
      </c>
      <c r="E21" s="6">
        <f>ROUND((fy23_summary_bnft_projection!I64/fy23_summary_bnft_projection!$I$74),3)+0.0014</f>
        <v>0.1074</v>
      </c>
      <c r="G21" s="6">
        <f t="shared" si="0"/>
        <v>0</v>
      </c>
      <c r="H21" s="6"/>
      <c r="I21" s="6"/>
      <c r="J21" s="6"/>
      <c r="K21" s="6"/>
    </row>
    <row r="22" spans="1:11">
      <c r="A22" s="37" t="s">
        <v>118</v>
      </c>
      <c r="B22" s="6">
        <f>ROUND((fy23_summary_bnft_projection!D69/fy23_summary_bnft_projection!$D$74),3)</f>
        <v>8.0000000000000002E-3</v>
      </c>
      <c r="C22" s="6">
        <v>1.2999999999999999E-2</v>
      </c>
      <c r="D22" s="6">
        <f>ROUND((fy23_summary_bnft_projection!G69/fy23_summary_bnft_projection!$G$74),3)</f>
        <v>0</v>
      </c>
      <c r="E22" s="6">
        <f>ROUND((fy23_summary_bnft_projection!I69/fy23_summary_bnft_projection!$I$74),3)</f>
        <v>0</v>
      </c>
      <c r="G22" s="6">
        <f t="shared" si="0"/>
        <v>0</v>
      </c>
      <c r="H22" s="6"/>
      <c r="I22" s="6"/>
      <c r="J22" s="6"/>
      <c r="K22" s="6"/>
    </row>
    <row r="23" spans="1:11">
      <c r="A23" s="38" t="s">
        <v>120</v>
      </c>
      <c r="B23" s="6">
        <f>'Rate Summary'!B16</f>
        <v>0.27800000000000002</v>
      </c>
      <c r="C23" s="6">
        <f>'Rate Summary'!B17</f>
        <v>0.38</v>
      </c>
      <c r="D23" s="6">
        <f>'Rate Summary'!B18</f>
        <v>0.156</v>
      </c>
      <c r="E23" s="6">
        <f>'Rate Summary'!B19</f>
        <v>0.112</v>
      </c>
      <c r="G23" s="6">
        <f>D23</f>
        <v>0.156</v>
      </c>
      <c r="H23" s="6"/>
      <c r="I23" s="6"/>
      <c r="J23" s="6"/>
      <c r="K23" s="6"/>
    </row>
    <row r="24" spans="1:11">
      <c r="A24" s="39"/>
      <c r="B24" s="6"/>
      <c r="C24" s="6"/>
      <c r="D24" s="6"/>
      <c r="E24" s="6"/>
      <c r="G24" s="6"/>
      <c r="H24" s="6"/>
      <c r="I24" s="6"/>
      <c r="J24" s="6"/>
      <c r="K24" s="6"/>
    </row>
    <row r="25" spans="1:11">
      <c r="A25" s="39" t="s">
        <v>127</v>
      </c>
      <c r="B25" s="6">
        <v>0</v>
      </c>
      <c r="C25" s="6">
        <v>8.0000000000000002E-3</v>
      </c>
      <c r="D25" s="6">
        <v>0</v>
      </c>
      <c r="E25" s="6">
        <v>0</v>
      </c>
      <c r="G25" s="6">
        <v>0</v>
      </c>
      <c r="H25" s="6"/>
      <c r="I25" s="6"/>
      <c r="J25" s="6"/>
      <c r="K25" s="6"/>
    </row>
    <row r="26" spans="1:11">
      <c r="A26" s="39"/>
      <c r="B26" s="6"/>
      <c r="C26" s="6"/>
      <c r="D26" s="6"/>
      <c r="E26" s="6"/>
      <c r="G26" s="6"/>
      <c r="H26" s="6"/>
      <c r="I26" s="6"/>
      <c r="J26" s="6"/>
      <c r="K26" s="6"/>
    </row>
    <row r="27" spans="1:11">
      <c r="A27" s="40" t="s">
        <v>121</v>
      </c>
      <c r="B27" s="6">
        <f>SUM(B5:B7,B13:B22)+B25</f>
        <v>0.27800000000000002</v>
      </c>
      <c r="C27" s="6">
        <f t="shared" ref="C27:E27" si="2">SUM(C5:C7,C13:C22)+C25</f>
        <v>0.38</v>
      </c>
      <c r="D27" s="6">
        <f t="shared" si="2"/>
        <v>0.156</v>
      </c>
      <c r="E27" s="6">
        <f t="shared" si="2"/>
        <v>0.1124</v>
      </c>
      <c r="G27" s="6">
        <f t="shared" ref="G27" si="3">SUM(G5:G7,G13:G22)+G25</f>
        <v>0.156</v>
      </c>
      <c r="H27" s="6"/>
      <c r="I27" s="6"/>
      <c r="J27" s="6"/>
      <c r="K27" s="6"/>
    </row>
    <row r="29" spans="1:11">
      <c r="B29" s="43">
        <f>B23-B27</f>
        <v>0</v>
      </c>
      <c r="C29" s="43">
        <f t="shared" ref="C29:E29" si="4">C23-C27</f>
        <v>0</v>
      </c>
      <c r="D29" s="43">
        <f t="shared" si="4"/>
        <v>0</v>
      </c>
      <c r="E29" s="43">
        <f t="shared" si="4"/>
        <v>-3.9999999999999758E-4</v>
      </c>
      <c r="G29" s="43">
        <f t="shared" ref="G29" si="5">G23-G27</f>
        <v>0</v>
      </c>
      <c r="H29" s="43"/>
      <c r="I29" s="43"/>
      <c r="J29" s="43"/>
      <c r="K29" s="4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01BDF-DBFB-4E44-BA9C-6AC504DA65CD}">
  <dimension ref="A3:K32"/>
  <sheetViews>
    <sheetView workbookViewId="0">
      <selection activeCell="A13" sqref="A13"/>
    </sheetView>
  </sheetViews>
  <sheetFormatPr defaultRowHeight="12.75"/>
  <cols>
    <col min="1" max="1" width="41.140625" style="44" bestFit="1" customWidth="1"/>
    <col min="2" max="2" width="11.140625" style="44" customWidth="1"/>
    <col min="3" max="3" width="26.7109375" style="44" bestFit="1" customWidth="1"/>
    <col min="4" max="4" width="41.140625" style="44" customWidth="1"/>
    <col min="5" max="8" width="10.7109375" customWidth="1"/>
    <col min="9" max="9" width="4.5703125" customWidth="1"/>
  </cols>
  <sheetData>
    <row r="3" spans="1:11">
      <c r="E3" s="42" t="s">
        <v>97</v>
      </c>
      <c r="F3" s="41"/>
      <c r="G3" s="41"/>
      <c r="H3" s="41"/>
    </row>
    <row r="4" spans="1:11">
      <c r="E4" s="2" t="s">
        <v>9</v>
      </c>
      <c r="F4" s="2" t="s">
        <v>122</v>
      </c>
      <c r="G4" s="2" t="s">
        <v>11</v>
      </c>
      <c r="H4" s="2" t="s">
        <v>126</v>
      </c>
    </row>
    <row r="5" spans="1:11">
      <c r="A5" s="54" t="s">
        <v>158</v>
      </c>
      <c r="B5" s="54" t="s">
        <v>161</v>
      </c>
      <c r="C5" s="54" t="s">
        <v>159</v>
      </c>
      <c r="D5" s="54" t="s">
        <v>160</v>
      </c>
      <c r="E5" s="2" t="s">
        <v>17</v>
      </c>
      <c r="F5" s="2" t="s">
        <v>95</v>
      </c>
      <c r="G5" s="2" t="s">
        <v>22</v>
      </c>
      <c r="H5" s="2" t="s">
        <v>24</v>
      </c>
      <c r="J5" t="s">
        <v>98</v>
      </c>
    </row>
    <row r="6" spans="1:11">
      <c r="A6" s="44" t="s">
        <v>40</v>
      </c>
      <c r="B6" s="44" t="s">
        <v>134</v>
      </c>
      <c r="C6" t="s">
        <v>162</v>
      </c>
      <c r="D6" t="s">
        <v>163</v>
      </c>
      <c r="E6" s="6">
        <f>ROUND('Components OSP'!B5/'Components OSP'!$B$23,3)</f>
        <v>0.50700000000000001</v>
      </c>
      <c r="F6" s="6">
        <f>ROUND('Components OSP'!C5/'Components OSP'!$C$23,3)</f>
        <v>0</v>
      </c>
      <c r="G6" s="6">
        <f>ROUND('Components OSP'!D5/'Components OSP'!$D$23,3)</f>
        <v>0.90400000000000003</v>
      </c>
      <c r="H6" s="6">
        <f>ROUND('Components OSP'!E5/'Components OSP'!$E$23,3)</f>
        <v>0</v>
      </c>
      <c r="J6" s="6">
        <f>G6</f>
        <v>0.90400000000000003</v>
      </c>
      <c r="K6" t="s">
        <v>150</v>
      </c>
    </row>
    <row r="7" spans="1:11">
      <c r="A7" s="44" t="s">
        <v>42</v>
      </c>
      <c r="B7" s="44" t="s">
        <v>135</v>
      </c>
      <c r="C7" t="s">
        <v>162</v>
      </c>
      <c r="D7" t="s">
        <v>163</v>
      </c>
      <c r="E7" s="6">
        <f>ROUND('Components OSP'!B6/'Components OSP'!$B$23,3)</f>
        <v>0</v>
      </c>
      <c r="F7" s="6">
        <f>ROUND('Components OSP'!C6/'Components OSP'!$C$23,3)</f>
        <v>0.371</v>
      </c>
      <c r="G7" s="6">
        <f>ROUND('Components OSP'!D6/'Components OSP'!$D$23,3)</f>
        <v>0</v>
      </c>
      <c r="H7" s="6">
        <f>ROUND('Components OSP'!E6/'Components OSP'!$E$23,3)</f>
        <v>0</v>
      </c>
      <c r="J7" s="6">
        <f t="shared" ref="J7:J29" si="0">G7</f>
        <v>0</v>
      </c>
    </row>
    <row r="8" spans="1:11">
      <c r="A8" s="44" t="s">
        <v>44</v>
      </c>
      <c r="B8" s="45" t="s">
        <v>136</v>
      </c>
      <c r="C8" t="s">
        <v>162</v>
      </c>
      <c r="D8" t="s">
        <v>163</v>
      </c>
      <c r="E8" s="6">
        <f>ROUND('Components OSP'!B7/'Components OSP'!$B$23,3)</f>
        <v>0.05</v>
      </c>
      <c r="F8" s="6">
        <f>ROUND('Components OSP'!C7/'Components OSP'!$C$23,3)</f>
        <v>3.6999999999999998E-2</v>
      </c>
      <c r="G8" s="6">
        <f>ROUND('Components OSP'!D7/'Components OSP'!$D$23,3)</f>
        <v>7.6999999999999999E-2</v>
      </c>
      <c r="H8" s="6">
        <f>ROUND('Components OSP'!E7/'Components OSP'!$E$23,3)</f>
        <v>0</v>
      </c>
      <c r="J8" s="6">
        <f t="shared" si="0"/>
        <v>7.6999999999999999E-2</v>
      </c>
    </row>
    <row r="9" spans="1:11">
      <c r="A9" s="49" t="s">
        <v>104</v>
      </c>
      <c r="B9" s="50" t="s">
        <v>137</v>
      </c>
      <c r="C9" s="50" t="s">
        <v>162</v>
      </c>
      <c r="D9" s="50" t="s">
        <v>163</v>
      </c>
      <c r="E9" s="46">
        <f>ROUND('Components OSP'!B8/'Components OSP'!$B$23,3)</f>
        <v>0.32400000000000001</v>
      </c>
      <c r="F9" s="46">
        <f>ROUND('Components OSP'!C8/'Components OSP'!$C$23,3)</f>
        <v>0.44500000000000001</v>
      </c>
      <c r="G9" s="46">
        <f>ROUND('Components OSP'!D8/'Components OSP'!$D$23,3)</f>
        <v>0</v>
      </c>
      <c r="H9" s="46">
        <f>ROUND('Components OSP'!E8/'Components OSP'!$E$23,3)</f>
        <v>0</v>
      </c>
      <c r="I9" s="47"/>
      <c r="J9" s="46">
        <f t="shared" si="0"/>
        <v>0</v>
      </c>
    </row>
    <row r="10" spans="1:11">
      <c r="A10" s="49" t="s">
        <v>105</v>
      </c>
      <c r="B10" s="50" t="s">
        <v>140</v>
      </c>
      <c r="C10" s="50" t="s">
        <v>162</v>
      </c>
      <c r="D10" s="50" t="s">
        <v>163</v>
      </c>
      <c r="E10" s="46">
        <f>ROUND('Components OSP'!B9/'Components OSP'!$B$23,3)</f>
        <v>3.2000000000000001E-2</v>
      </c>
      <c r="F10" s="46">
        <f>ROUND('Components OSP'!C9/'Components OSP'!$C$23,3)</f>
        <v>4.4999999999999998E-2</v>
      </c>
      <c r="G10" s="46">
        <f>ROUND('Components OSP'!D9/'Components OSP'!$D$23,3)</f>
        <v>0</v>
      </c>
      <c r="H10" s="46">
        <f>ROUND('Components OSP'!E9/'Components OSP'!$E$23,3)</f>
        <v>0</v>
      </c>
      <c r="I10" s="47"/>
      <c r="J10" s="46">
        <f t="shared" si="0"/>
        <v>0</v>
      </c>
    </row>
    <row r="11" spans="1:11">
      <c r="A11" s="49" t="s">
        <v>106</v>
      </c>
      <c r="B11" s="50" t="s">
        <v>139</v>
      </c>
      <c r="C11" s="50" t="s">
        <v>162</v>
      </c>
      <c r="D11" s="50" t="s">
        <v>163</v>
      </c>
      <c r="E11" s="46">
        <f>ROUND('Components OSP'!B10/'Components OSP'!$B$23,3)</f>
        <v>4.0000000000000001E-3</v>
      </c>
      <c r="F11" s="46">
        <f>ROUND('Components OSP'!C10/'Components OSP'!$C$23,3)</f>
        <v>5.0000000000000001E-3</v>
      </c>
      <c r="G11" s="46">
        <f>ROUND('Components OSP'!D10/'Components OSP'!$D$23,3)</f>
        <v>0</v>
      </c>
      <c r="H11" s="46">
        <f>ROUND('Components OSP'!E10/'Components OSP'!$E$23,3)</f>
        <v>0</v>
      </c>
      <c r="I11" s="47"/>
      <c r="J11" s="46">
        <f t="shared" si="0"/>
        <v>0</v>
      </c>
    </row>
    <row r="12" spans="1:11">
      <c r="A12" s="49" t="s">
        <v>107</v>
      </c>
      <c r="B12" s="50" t="s">
        <v>138</v>
      </c>
      <c r="C12" s="50" t="s">
        <v>162</v>
      </c>
      <c r="D12" s="50" t="s">
        <v>163</v>
      </c>
      <c r="E12" s="46">
        <f>ROUND('Components OSP'!B11/'Components OSP'!$B$23,3)</f>
        <v>4.0000000000000001E-3</v>
      </c>
      <c r="F12" s="46">
        <f>ROUND('Components OSP'!C11/'Components OSP'!$C$23,3)</f>
        <v>5.0000000000000001E-3</v>
      </c>
      <c r="G12" s="46">
        <f>ROUND('Components OSP'!D11/'Components OSP'!$D$23,3)</f>
        <v>0</v>
      </c>
      <c r="H12" s="46">
        <f>ROUND('Components OSP'!E11/'Components OSP'!$E$23,3)</f>
        <v>0</v>
      </c>
      <c r="I12" s="47"/>
      <c r="J12" s="46">
        <f t="shared" si="0"/>
        <v>0</v>
      </c>
    </row>
    <row r="13" spans="1:11">
      <c r="A13" s="49" t="s">
        <v>108</v>
      </c>
      <c r="B13" s="50"/>
      <c r="C13" s="50" t="s">
        <v>162</v>
      </c>
      <c r="D13" s="50" t="s">
        <v>163</v>
      </c>
      <c r="E13" s="46">
        <f>SUM(E9:E12)</f>
        <v>0.36399999999999999</v>
      </c>
      <c r="F13" s="46">
        <f t="shared" ref="F13:H13" si="1">SUM(F9:F12)</f>
        <v>0.5</v>
      </c>
      <c r="G13" s="46">
        <f t="shared" si="1"/>
        <v>0</v>
      </c>
      <c r="H13" s="46">
        <f t="shared" si="1"/>
        <v>0</v>
      </c>
      <c r="I13" s="47"/>
      <c r="J13" s="46">
        <f t="shared" si="0"/>
        <v>0</v>
      </c>
    </row>
    <row r="14" spans="1:11">
      <c r="A14" s="49" t="s">
        <v>109</v>
      </c>
      <c r="B14" s="50"/>
      <c r="C14" s="50" t="s">
        <v>162</v>
      </c>
      <c r="D14" s="50" t="s">
        <v>163</v>
      </c>
      <c r="E14" s="46">
        <f>ROUND('Components OSP'!B13/'Components OSP'!$B$23,3)</f>
        <v>0.36299999999999999</v>
      </c>
      <c r="F14" s="46">
        <f>ROUND('Components OSP'!C13/'Components OSP'!$C$23,3)-0.001</f>
        <v>0.499</v>
      </c>
      <c r="G14" s="46">
        <v>0</v>
      </c>
      <c r="H14" s="46">
        <v>0</v>
      </c>
      <c r="I14" s="47"/>
      <c r="J14" s="46">
        <f t="shared" si="0"/>
        <v>0</v>
      </c>
    </row>
    <row r="15" spans="1:11">
      <c r="A15" s="44" t="s">
        <v>133</v>
      </c>
      <c r="B15" s="44" t="s">
        <v>141</v>
      </c>
      <c r="C15" t="s">
        <v>162</v>
      </c>
      <c r="D15" t="s">
        <v>163</v>
      </c>
      <c r="E15" s="6">
        <f>ROUND('Components OSP'!B14/'Components OSP'!$B$23,3)</f>
        <v>7.0000000000000001E-3</v>
      </c>
      <c r="F15" s="6">
        <f>ROUND('Components OSP'!C14/'Components OSP'!$C$23,3)</f>
        <v>0</v>
      </c>
      <c r="G15" s="6">
        <f>ROUND('Components OSP'!D14/'Components OSP'!$D$23,3)+0.001</f>
        <v>7.0000000000000001E-3</v>
      </c>
      <c r="H15" s="6">
        <f>ROUND('Components OSP'!E14/'Components OSP'!$E$23,3)</f>
        <v>2.7E-2</v>
      </c>
      <c r="J15" s="6">
        <f t="shared" si="0"/>
        <v>7.0000000000000001E-3</v>
      </c>
    </row>
    <row r="16" spans="1:11">
      <c r="A16" s="44" t="s">
        <v>45</v>
      </c>
      <c r="B16" s="44" t="s">
        <v>142</v>
      </c>
      <c r="C16" t="s">
        <v>162</v>
      </c>
      <c r="D16" t="s">
        <v>163</v>
      </c>
      <c r="E16" s="6">
        <f>ROUND('Components OSP'!B15/'Components OSP'!$B$23,3)</f>
        <v>7.0000000000000001E-3</v>
      </c>
      <c r="F16" s="6">
        <f>ROUND('Components OSP'!C15/'Components OSP'!$C$23,3)</f>
        <v>5.0000000000000001E-3</v>
      </c>
      <c r="G16" s="6">
        <f>ROUND('Components OSP'!D15/'Components OSP'!$D$23,3)</f>
        <v>0</v>
      </c>
      <c r="H16" s="6">
        <f>ROUND('Components OSP'!E15/'Components OSP'!$E$23,3)</f>
        <v>0</v>
      </c>
      <c r="J16" s="6">
        <f t="shared" si="0"/>
        <v>0</v>
      </c>
    </row>
    <row r="17" spans="1:10">
      <c r="A17" s="44" t="s">
        <v>46</v>
      </c>
      <c r="B17" s="44" t="s">
        <v>143</v>
      </c>
      <c r="C17" t="s">
        <v>162</v>
      </c>
      <c r="D17" t="s">
        <v>163</v>
      </c>
      <c r="E17" s="6">
        <f>ROUND('Components OSP'!B16/'Components OSP'!$B$23,3)</f>
        <v>7.0000000000000001E-3</v>
      </c>
      <c r="F17" s="6">
        <f>ROUND('Components OSP'!C16/'Components OSP'!$C$23,3)</f>
        <v>8.0000000000000002E-3</v>
      </c>
      <c r="G17" s="6">
        <f>ROUND('Components OSP'!D16/'Components OSP'!$D$23,3)</f>
        <v>0</v>
      </c>
      <c r="H17" s="6">
        <f>ROUND('Components OSP'!E16/'Components OSP'!$E$23,3)</f>
        <v>0</v>
      </c>
      <c r="J17" s="6">
        <f t="shared" si="0"/>
        <v>0</v>
      </c>
    </row>
    <row r="18" spans="1:10">
      <c r="A18" s="44" t="s">
        <v>47</v>
      </c>
      <c r="B18" s="45" t="s">
        <v>144</v>
      </c>
      <c r="C18" t="s">
        <v>162</v>
      </c>
      <c r="D18" t="s">
        <v>163</v>
      </c>
      <c r="E18" s="6">
        <f>ROUND('Components OSP'!B17/'Components OSP'!$B$23,3)</f>
        <v>4.0000000000000001E-3</v>
      </c>
      <c r="F18" s="6">
        <f>ROUND('Components OSP'!C17/'Components OSP'!$C$23,3)</f>
        <v>3.0000000000000001E-3</v>
      </c>
      <c r="G18" s="6">
        <f>ROUND('Components OSP'!D17/'Components OSP'!$D$23,3)</f>
        <v>6.0000000000000001E-3</v>
      </c>
      <c r="H18" s="6">
        <f>ROUND('Components OSP'!E17/'Components OSP'!$E$23,3)</f>
        <v>0</v>
      </c>
      <c r="J18" s="6">
        <f t="shared" si="0"/>
        <v>6.0000000000000001E-3</v>
      </c>
    </row>
    <row r="19" spans="1:10">
      <c r="A19" s="44" t="s">
        <v>132</v>
      </c>
      <c r="B19" s="45" t="s">
        <v>145</v>
      </c>
      <c r="C19" t="s">
        <v>162</v>
      </c>
      <c r="D19" t="s">
        <v>163</v>
      </c>
      <c r="E19" s="6">
        <f>ROUND('Components OSP'!B18/'Components OSP'!$B$23,3)</f>
        <v>7.0000000000000001E-3</v>
      </c>
      <c r="F19" s="6">
        <f>ROUND('Components OSP'!C18/'Components OSP'!$C$23,3)</f>
        <v>5.0000000000000001E-3</v>
      </c>
      <c r="G19" s="6">
        <f>ROUND('Components OSP'!D18/'Components OSP'!$D$23,3)</f>
        <v>6.0000000000000001E-3</v>
      </c>
      <c r="H19" s="6">
        <f>ROUND('Components OSP'!E18/'Components OSP'!$E$23,3)</f>
        <v>1.7999999999999999E-2</v>
      </c>
      <c r="J19" s="6">
        <f t="shared" si="0"/>
        <v>6.0000000000000001E-3</v>
      </c>
    </row>
    <row r="20" spans="1:10">
      <c r="A20" s="44" t="s">
        <v>56</v>
      </c>
      <c r="B20" s="45" t="s">
        <v>146</v>
      </c>
      <c r="C20" t="s">
        <v>162</v>
      </c>
      <c r="D20" t="s">
        <v>163</v>
      </c>
      <c r="E20" s="6">
        <f>ROUND('Components OSP'!B19/'Components OSP'!$B$23,3)</f>
        <v>4.0000000000000001E-3</v>
      </c>
      <c r="F20" s="6">
        <f>ROUND('Components OSP'!C19/'Components OSP'!$C$23,3)</f>
        <v>3.0000000000000001E-3</v>
      </c>
      <c r="G20" s="6">
        <f>ROUND('Components OSP'!D19/'Components OSP'!$D$23,3)</f>
        <v>0</v>
      </c>
      <c r="H20" s="6">
        <f>ROUND('Components OSP'!E19/'Components OSP'!$E$23,3)</f>
        <v>0</v>
      </c>
      <c r="J20" s="6">
        <f t="shared" si="0"/>
        <v>0</v>
      </c>
    </row>
    <row r="21" spans="1:10">
      <c r="A21" s="44" t="s">
        <v>57</v>
      </c>
      <c r="B21" s="45" t="s">
        <v>147</v>
      </c>
      <c r="C21" t="s">
        <v>162</v>
      </c>
      <c r="D21" t="s">
        <v>163</v>
      </c>
      <c r="E21" s="6">
        <f>ROUND('Components OSP'!B20/'Components OSP'!$B$23,3)</f>
        <v>1.4E-2</v>
      </c>
      <c r="F21" s="6">
        <f>ROUND('Components OSP'!C20/'Components OSP'!$C$23,3)</f>
        <v>1.2999999999999999E-2</v>
      </c>
      <c r="G21" s="6">
        <f>ROUND('Components OSP'!D20/'Components OSP'!$D$23,3)</f>
        <v>0</v>
      </c>
      <c r="H21" s="6">
        <f>ROUND('Components OSP'!E20/'Components OSP'!$E$23,3)</f>
        <v>0</v>
      </c>
      <c r="J21" s="6">
        <f t="shared" si="0"/>
        <v>0</v>
      </c>
    </row>
    <row r="22" spans="1:10">
      <c r="A22" s="44" t="s">
        <v>52</v>
      </c>
      <c r="B22" s="45" t="s">
        <v>148</v>
      </c>
      <c r="C22" t="s">
        <v>162</v>
      </c>
      <c r="D22" t="s">
        <v>163</v>
      </c>
      <c r="E22" s="6">
        <f>ROUND('Components OSP'!B21/'Components OSP'!$B$23,3)</f>
        <v>0</v>
      </c>
      <c r="F22" s="6">
        <f>ROUND('Components OSP'!C21/'Components OSP'!$C$23,3)</f>
        <v>0</v>
      </c>
      <c r="G22" s="6">
        <f>ROUND('Components OSP'!D21/'Components OSP'!$D$23,3)</f>
        <v>0</v>
      </c>
      <c r="H22" s="6">
        <f>ROUND('Components OSP'!E21/'Components OSP'!$E$23,3)-0.004</f>
        <v>0.95499999999999996</v>
      </c>
      <c r="J22" s="6">
        <f t="shared" si="0"/>
        <v>0</v>
      </c>
    </row>
    <row r="23" spans="1:10">
      <c r="A23" s="44" t="s">
        <v>58</v>
      </c>
      <c r="B23" s="45" t="s">
        <v>149</v>
      </c>
      <c r="C23" t="s">
        <v>162</v>
      </c>
      <c r="D23" t="s">
        <v>163</v>
      </c>
      <c r="E23" s="6">
        <f>ROUND('Components OSP'!B22/'Components OSP'!$B$23,3)</f>
        <v>2.9000000000000001E-2</v>
      </c>
      <c r="F23" s="6">
        <f>ROUND('Components OSP'!C22/'Components OSP'!$C$23,3)</f>
        <v>3.4000000000000002E-2</v>
      </c>
      <c r="G23" s="6">
        <f>ROUND('Components OSP'!D22/'Components OSP'!$D$23,3)</f>
        <v>0</v>
      </c>
      <c r="H23" s="6">
        <f>ROUND('Components OSP'!E22/'Components OSP'!$E$23,3)</f>
        <v>0</v>
      </c>
      <c r="J23" s="6">
        <f t="shared" si="0"/>
        <v>0</v>
      </c>
    </row>
    <row r="24" spans="1:10">
      <c r="B24" s="45"/>
      <c r="E24" s="6"/>
      <c r="F24" s="6"/>
      <c r="G24" s="6"/>
      <c r="H24" s="6"/>
      <c r="J24" s="6"/>
    </row>
    <row r="25" spans="1:10">
      <c r="A25" s="44" t="s">
        <v>129</v>
      </c>
      <c r="B25" s="45"/>
      <c r="E25" s="6">
        <f>SUM(E6:E12,E15:E23)</f>
        <v>1</v>
      </c>
      <c r="F25" s="6">
        <f t="shared" ref="F25:H25" si="2">SUM(F6:F12,F15:F23)</f>
        <v>0.97900000000000009</v>
      </c>
      <c r="G25" s="6">
        <f t="shared" si="2"/>
        <v>1</v>
      </c>
      <c r="H25" s="6">
        <f t="shared" si="2"/>
        <v>1</v>
      </c>
      <c r="J25" s="6">
        <f t="shared" si="0"/>
        <v>1</v>
      </c>
    </row>
    <row r="26" spans="1:10">
      <c r="E26" s="6"/>
      <c r="F26" s="6"/>
      <c r="G26" s="6"/>
      <c r="H26" s="6"/>
      <c r="J26" s="6"/>
    </row>
    <row r="27" spans="1:10">
      <c r="A27" s="44" t="s">
        <v>130</v>
      </c>
      <c r="B27" s="44" t="s">
        <v>157</v>
      </c>
      <c r="C27" t="s">
        <v>162</v>
      </c>
      <c r="D27" t="s">
        <v>164</v>
      </c>
      <c r="E27" s="6">
        <v>0</v>
      </c>
      <c r="F27" s="6">
        <f>ROUND('Components OSP'!C25/'Components OSP'!$C$23,3)</f>
        <v>2.1000000000000001E-2</v>
      </c>
      <c r="G27" s="6">
        <v>0</v>
      </c>
      <c r="H27" s="6">
        <v>0</v>
      </c>
      <c r="J27" s="6">
        <f t="shared" si="0"/>
        <v>0</v>
      </c>
    </row>
    <row r="28" spans="1:10">
      <c r="E28" s="6"/>
      <c r="F28" s="6"/>
      <c r="G28" s="6"/>
      <c r="H28" s="6"/>
      <c r="J28" s="6"/>
    </row>
    <row r="29" spans="1:10">
      <c r="A29" s="44" t="s">
        <v>131</v>
      </c>
      <c r="E29" s="43">
        <f>E27+E25</f>
        <v>1</v>
      </c>
      <c r="F29" s="43">
        <f t="shared" ref="F29:H29" si="3">F27+F25</f>
        <v>1</v>
      </c>
      <c r="G29" s="43">
        <f t="shared" si="3"/>
        <v>1</v>
      </c>
      <c r="H29" s="43">
        <f t="shared" si="3"/>
        <v>1</v>
      </c>
      <c r="J29" s="43">
        <f t="shared" si="0"/>
        <v>1</v>
      </c>
    </row>
    <row r="30" spans="1:10">
      <c r="E30" s="43"/>
      <c r="F30" s="43"/>
      <c r="G30" s="43"/>
      <c r="H30" s="43"/>
    </row>
    <row r="32" spans="1:10">
      <c r="E32" s="6"/>
      <c r="F32" s="6"/>
      <c r="G32" s="6"/>
      <c r="H32" s="6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DB8CC-6AE7-431B-9B9E-80E6AF2853F1}">
  <sheetPr>
    <pageSetUpPr fitToPage="1"/>
  </sheetPr>
  <dimension ref="A1:X104"/>
  <sheetViews>
    <sheetView zoomScale="90" workbookViewId="0">
      <pane xSplit="3" ySplit="12" topLeftCell="D13" activePane="bottomRight" state="frozen"/>
      <selection pane="topRight" activeCell="D1" sqref="D1"/>
      <selection pane="bottomLeft" activeCell="A10" sqref="A10"/>
      <selection pane="bottomRight" activeCell="C13" sqref="C13"/>
    </sheetView>
  </sheetViews>
  <sheetFormatPr defaultRowHeight="12.75"/>
  <cols>
    <col min="1" max="1" width="32.5703125" customWidth="1"/>
    <col min="2" max="2" width="13" customWidth="1"/>
    <col min="3" max="3" width="24.42578125" customWidth="1"/>
    <col min="4" max="4" width="15.7109375" customWidth="1"/>
    <col min="5" max="5" width="13.28515625" customWidth="1"/>
    <col min="6" max="6" width="13.5703125" customWidth="1"/>
    <col min="7" max="7" width="15" bestFit="1" customWidth="1"/>
    <col min="8" max="8" width="15.28515625" customWidth="1"/>
    <col min="9" max="14" width="13.28515625" customWidth="1"/>
    <col min="15" max="15" width="16.28515625" customWidth="1"/>
    <col min="16" max="17" width="13.28515625" customWidth="1"/>
    <col min="18" max="18" width="15" customWidth="1"/>
    <col min="20" max="20" width="17" customWidth="1"/>
    <col min="22" max="22" width="18.42578125" customWidth="1"/>
    <col min="23" max="23" width="14.5703125" customWidth="1"/>
  </cols>
  <sheetData>
    <row r="1" spans="1:23">
      <c r="A1" s="1" t="s">
        <v>0</v>
      </c>
    </row>
    <row r="2" spans="1:23">
      <c r="A2" s="1" t="s">
        <v>1</v>
      </c>
    </row>
    <row r="3" spans="1:23">
      <c r="A3" s="1" t="s">
        <v>2</v>
      </c>
    </row>
    <row r="4" spans="1:23">
      <c r="A4" s="1"/>
      <c r="C4" s="2" t="s">
        <v>3</v>
      </c>
      <c r="D4" s="3">
        <f t="shared" ref="D4:J4" si="0">D13/D15</f>
        <v>121496.78702772471</v>
      </c>
      <c r="E4" s="3">
        <f t="shared" si="0"/>
        <v>68396.671551830121</v>
      </c>
      <c r="F4" s="3">
        <f t="shared" si="0"/>
        <v>68754.894873946905</v>
      </c>
      <c r="G4" s="3">
        <f t="shared" si="0"/>
        <v>73711.604715575304</v>
      </c>
      <c r="H4" s="3">
        <f t="shared" si="0"/>
        <v>605805.96098751156</v>
      </c>
      <c r="I4" s="3" t="e">
        <f t="shared" si="0"/>
        <v>#DIV/0!</v>
      </c>
      <c r="J4" s="3" t="e">
        <f t="shared" si="0"/>
        <v>#DIV/0!</v>
      </c>
      <c r="O4" s="4" t="s">
        <v>4</v>
      </c>
    </row>
    <row r="5" spans="1:23">
      <c r="A5" s="1"/>
      <c r="C5" s="2" t="s">
        <v>5</v>
      </c>
      <c r="D5" s="3">
        <v>115460</v>
      </c>
      <c r="E5" s="3">
        <v>60506</v>
      </c>
      <c r="F5" s="3">
        <v>70296</v>
      </c>
      <c r="G5" s="3">
        <v>75703</v>
      </c>
      <c r="H5" s="3">
        <v>521218</v>
      </c>
      <c r="I5" s="3">
        <v>40815</v>
      </c>
      <c r="J5" s="3">
        <v>36810</v>
      </c>
      <c r="O5" s="4" t="s">
        <v>6</v>
      </c>
      <c r="W5" s="5">
        <f>386/470</f>
        <v>0.82127659574468082</v>
      </c>
    </row>
    <row r="6" spans="1:23">
      <c r="A6" s="1"/>
      <c r="C6" t="s">
        <v>7</v>
      </c>
      <c r="D6" s="6">
        <f t="shared" ref="D6:J6" si="1">(D4-D5)/D5</f>
        <v>5.2284661594705635E-2</v>
      </c>
      <c r="E6" s="6">
        <f t="shared" si="1"/>
        <v>0.13041138980977293</v>
      </c>
      <c r="F6" s="6">
        <f t="shared" si="1"/>
        <v>-2.1923084187622267E-2</v>
      </c>
      <c r="G6" s="6">
        <f t="shared" si="1"/>
        <v>-2.6305368141615208E-2</v>
      </c>
      <c r="H6" s="6">
        <f t="shared" si="1"/>
        <v>0.16228902491378186</v>
      </c>
      <c r="I6" s="6" t="e">
        <f t="shared" si="1"/>
        <v>#DIV/0!</v>
      </c>
      <c r="J6" s="6" t="e">
        <f t="shared" si="1"/>
        <v>#DIV/0!</v>
      </c>
      <c r="O6" s="4" t="s">
        <v>8</v>
      </c>
    </row>
    <row r="8" spans="1:23">
      <c r="D8" s="89" t="s">
        <v>9</v>
      </c>
      <c r="E8" s="90"/>
      <c r="F8" s="89" t="s">
        <v>259</v>
      </c>
      <c r="G8" s="91"/>
      <c r="H8" s="90"/>
      <c r="I8" s="89" t="s">
        <v>10</v>
      </c>
      <c r="J8" s="90"/>
      <c r="K8" s="89" t="s">
        <v>11</v>
      </c>
      <c r="L8" s="90"/>
      <c r="M8" s="89" t="s">
        <v>12</v>
      </c>
      <c r="N8" s="90"/>
      <c r="O8" s="89" t="s">
        <v>4</v>
      </c>
      <c r="P8" s="90"/>
      <c r="Q8" s="89" t="s">
        <v>13</v>
      </c>
      <c r="R8" s="90"/>
      <c r="T8" s="7" t="s">
        <v>14</v>
      </c>
    </row>
    <row r="9" spans="1:23">
      <c r="H9" s="8"/>
    </row>
    <row r="10" spans="1:23">
      <c r="B10" s="9" t="s">
        <v>15</v>
      </c>
      <c r="C10" s="9" t="s">
        <v>16</v>
      </c>
      <c r="D10" s="9" t="s">
        <v>17</v>
      </c>
      <c r="E10" s="9" t="s">
        <v>18</v>
      </c>
      <c r="F10" s="9" t="s">
        <v>95</v>
      </c>
      <c r="G10" s="9" t="s">
        <v>260</v>
      </c>
      <c r="H10" s="10" t="s">
        <v>9</v>
      </c>
      <c r="I10" s="9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9" t="s">
        <v>27</v>
      </c>
      <c r="Q10" s="9" t="s">
        <v>28</v>
      </c>
      <c r="R10" s="9" t="s">
        <v>29</v>
      </c>
    </row>
    <row r="11" spans="1:23">
      <c r="B11" s="11" t="s">
        <v>30</v>
      </c>
      <c r="C11" s="11" t="s">
        <v>31</v>
      </c>
      <c r="D11" s="12" t="s">
        <v>32</v>
      </c>
      <c r="E11" s="11" t="s">
        <v>33</v>
      </c>
      <c r="F11" s="11" t="s">
        <v>34</v>
      </c>
      <c r="G11" s="11" t="s">
        <v>33</v>
      </c>
      <c r="H11" s="13" t="s">
        <v>35</v>
      </c>
      <c r="I11" s="11" t="s">
        <v>34</v>
      </c>
      <c r="J11" s="11" t="s">
        <v>33</v>
      </c>
      <c r="K11" s="11" t="s">
        <v>34</v>
      </c>
      <c r="L11" s="11" t="s">
        <v>33</v>
      </c>
      <c r="M11" s="11" t="s">
        <v>34</v>
      </c>
      <c r="N11" s="11" t="s">
        <v>33</v>
      </c>
      <c r="O11" s="11" t="s">
        <v>34</v>
      </c>
      <c r="P11" s="11" t="s">
        <v>33</v>
      </c>
      <c r="Q11" s="11" t="s">
        <v>34</v>
      </c>
      <c r="R11" s="11" t="s">
        <v>33</v>
      </c>
    </row>
    <row r="13" spans="1:23">
      <c r="A13" t="s">
        <v>36</v>
      </c>
      <c r="D13" s="3">
        <v>558136745.32439196</v>
      </c>
      <c r="E13" s="3">
        <v>53436454.648195013</v>
      </c>
      <c r="F13" s="3">
        <v>894041442.52975011</v>
      </c>
      <c r="G13" s="3">
        <v>1004749195.6330113</v>
      </c>
      <c r="H13" s="3">
        <v>396044960.01162595</v>
      </c>
      <c r="I13" s="3">
        <v>0</v>
      </c>
      <c r="J13" s="3">
        <v>0</v>
      </c>
      <c r="K13" s="3">
        <v>116666439.16486101</v>
      </c>
      <c r="L13" s="3">
        <v>142327527.56511602</v>
      </c>
      <c r="M13" s="3">
        <v>34787995.791467994</v>
      </c>
      <c r="N13" s="3">
        <v>2597710.5313880001</v>
      </c>
      <c r="O13" s="3">
        <v>0</v>
      </c>
      <c r="P13" s="3">
        <v>0</v>
      </c>
      <c r="Q13" s="3">
        <v>132824618.99825001</v>
      </c>
      <c r="R13" s="3">
        <v>565692.02649100008</v>
      </c>
      <c r="S13" s="3"/>
      <c r="T13" s="3">
        <f>SUM(D13:S13)</f>
        <v>3336178782.2245483</v>
      </c>
    </row>
    <row r="15" spans="1:23">
      <c r="A15" s="2" t="s">
        <v>37</v>
      </c>
      <c r="D15" s="14">
        <v>4593.8395490000003</v>
      </c>
      <c r="E15" s="14">
        <v>781.27273500000001</v>
      </c>
      <c r="F15" s="14">
        <v>13003.313351999999</v>
      </c>
      <c r="G15" s="14">
        <v>13630.8143</v>
      </c>
      <c r="H15" s="14">
        <v>653.74886600000002</v>
      </c>
      <c r="I15" s="14">
        <v>0</v>
      </c>
      <c r="J15" s="14">
        <v>0</v>
      </c>
      <c r="O15" s="14">
        <v>0</v>
      </c>
    </row>
    <row r="16" spans="1:23">
      <c r="V16" t="s">
        <v>38</v>
      </c>
      <c r="W16" s="9" t="s">
        <v>39</v>
      </c>
    </row>
    <row r="18" spans="1:24">
      <c r="A18" t="s">
        <v>40</v>
      </c>
      <c r="B18" s="9" t="s">
        <v>41</v>
      </c>
      <c r="C18" s="15">
        <v>0.14050000000000001</v>
      </c>
      <c r="D18" s="3">
        <f>D13*C18</f>
        <v>78418212.718077078</v>
      </c>
      <c r="E18" s="3">
        <f>E13*C18</f>
        <v>7507821.8780714003</v>
      </c>
      <c r="F18" s="3"/>
      <c r="G18" s="3"/>
      <c r="H18" s="3"/>
      <c r="I18" s="3"/>
      <c r="J18" s="3"/>
      <c r="K18" s="3">
        <f>K13*C18</f>
        <v>16391634.702662973</v>
      </c>
      <c r="L18" s="3">
        <f>L13*C18</f>
        <v>19997017.622898802</v>
      </c>
      <c r="M18" s="3"/>
      <c r="N18" s="3"/>
      <c r="O18" s="3"/>
      <c r="P18" s="3"/>
      <c r="Q18" s="3"/>
      <c r="R18" s="3"/>
      <c r="S18" s="3"/>
      <c r="T18" s="16">
        <f>SUM(D18:S18)</f>
        <v>122314686.92171025</v>
      </c>
      <c r="V18" s="3">
        <v>128711142.12704399</v>
      </c>
      <c r="W18" s="16">
        <f>T18-V18</f>
        <v>-6396455.2053337395</v>
      </c>
    </row>
    <row r="19" spans="1:24">
      <c r="A19" t="s">
        <v>42</v>
      </c>
      <c r="B19" s="9" t="s">
        <v>41</v>
      </c>
      <c r="C19" s="15">
        <v>0.14050000000000001</v>
      </c>
      <c r="D19" s="3"/>
      <c r="E19" s="3"/>
      <c r="F19" s="3">
        <f>F13*C19</f>
        <v>125612822.6754299</v>
      </c>
      <c r="G19" s="3">
        <f>G13*C19</f>
        <v>141167261.9864381</v>
      </c>
      <c r="H19" s="3">
        <f>H$13*$C19</f>
        <v>55644316.881633453</v>
      </c>
      <c r="I19" s="3">
        <f>I13*C19</f>
        <v>0</v>
      </c>
      <c r="J19" s="3">
        <f>J13*C19</f>
        <v>0</v>
      </c>
      <c r="K19" s="3"/>
      <c r="L19" s="3"/>
      <c r="M19" s="3"/>
      <c r="N19" s="3"/>
      <c r="O19" s="3"/>
      <c r="P19" s="3"/>
      <c r="Q19" s="3"/>
      <c r="R19" s="3"/>
      <c r="S19" s="3"/>
      <c r="T19" s="16">
        <f>SUM(D19:S19)</f>
        <v>322424401.54350144</v>
      </c>
      <c r="V19" s="3">
        <v>299287152.16851598</v>
      </c>
      <c r="W19" s="16">
        <f t="shared" ref="W19:W33" si="2">T19-V19</f>
        <v>23137249.374985456</v>
      </c>
      <c r="X19" t="s">
        <v>43</v>
      </c>
    </row>
    <row r="20" spans="1:24">
      <c r="A20" t="s">
        <v>44</v>
      </c>
      <c r="B20" s="9" t="s">
        <v>41</v>
      </c>
      <c r="C20" s="15">
        <v>1.3659436476955602E-2</v>
      </c>
      <c r="D20" s="3">
        <f t="shared" ref="D20:L20" si="3">D13*$C20</f>
        <v>7623833.418213279</v>
      </c>
      <c r="E20" s="3">
        <f t="shared" si="3"/>
        <v>729911.85782073869</v>
      </c>
      <c r="F20" s="3">
        <f t="shared" si="3"/>
        <v>12212102.292000875</v>
      </c>
      <c r="G20" s="3">
        <f t="shared" si="3"/>
        <v>13724307.813021356</v>
      </c>
      <c r="H20" s="3">
        <f t="shared" si="3"/>
        <v>5409750.9732972262</v>
      </c>
      <c r="I20" s="3">
        <f t="shared" si="3"/>
        <v>0</v>
      </c>
      <c r="J20" s="3">
        <f t="shared" si="3"/>
        <v>0</v>
      </c>
      <c r="K20" s="3">
        <f t="shared" si="3"/>
        <v>1593597.8147650242</v>
      </c>
      <c r="L20" s="3">
        <f t="shared" si="3"/>
        <v>1944113.8216978498</v>
      </c>
      <c r="M20" s="3"/>
      <c r="N20" s="3"/>
      <c r="O20" s="3"/>
      <c r="P20" s="3"/>
      <c r="Q20" s="3"/>
      <c r="R20" s="3"/>
      <c r="S20" s="3"/>
      <c r="T20" s="16">
        <f t="shared" ref="T20:T33" si="4">SUM(D20:S20)</f>
        <v>43237617.99081634</v>
      </c>
      <c r="V20" s="3">
        <v>42387108.887916014</v>
      </c>
      <c r="W20" s="16">
        <f t="shared" si="2"/>
        <v>850509.10290032625</v>
      </c>
    </row>
    <row r="21" spans="1:24">
      <c r="A21" t="s">
        <v>45</v>
      </c>
      <c r="B21" s="9" t="s">
        <v>41</v>
      </c>
      <c r="C21" s="15">
        <v>2.3860628569142501E-3</v>
      </c>
      <c r="D21" s="3">
        <f t="shared" ref="D21:J21" si="5">D13*$C21</f>
        <v>1331749.3570975398</v>
      </c>
      <c r="E21" s="3">
        <f t="shared" si="5"/>
        <v>127502.73964124094</v>
      </c>
      <c r="F21" s="3">
        <f t="shared" si="5"/>
        <v>2133239.0785622727</v>
      </c>
      <c r="G21" s="3">
        <f t="shared" si="5"/>
        <v>2397394.7362143979</v>
      </c>
      <c r="H21" s="3">
        <f t="shared" si="5"/>
        <v>944988.16875183012</v>
      </c>
      <c r="I21" s="3">
        <f t="shared" si="5"/>
        <v>0</v>
      </c>
      <c r="J21" s="3">
        <f t="shared" si="5"/>
        <v>0</v>
      </c>
      <c r="K21" s="3"/>
      <c r="L21" s="3"/>
      <c r="M21" s="3"/>
      <c r="N21" s="3"/>
      <c r="O21" s="3"/>
      <c r="P21" s="3"/>
      <c r="Q21" s="3"/>
      <c r="R21" s="3"/>
      <c r="S21" s="3"/>
      <c r="T21" s="16">
        <f t="shared" si="4"/>
        <v>6934874.0802672822</v>
      </c>
      <c r="V21" s="3">
        <v>6744434.0229720017</v>
      </c>
      <c r="W21" s="16">
        <f t="shared" si="2"/>
        <v>190440.05729528051</v>
      </c>
    </row>
    <row r="22" spans="1:24">
      <c r="A22" t="s">
        <v>46</v>
      </c>
      <c r="B22" s="9" t="s">
        <v>41</v>
      </c>
      <c r="C22" s="15">
        <v>2.318550321434396E-3</v>
      </c>
      <c r="D22" s="3">
        <f t="shared" ref="D22:J22" si="6">D13*$C22</f>
        <v>1294068.1302762167</v>
      </c>
      <c r="E22" s="3">
        <f t="shared" si="6"/>
        <v>123895.10910088707</v>
      </c>
      <c r="F22" s="3">
        <f t="shared" si="6"/>
        <v>2072880.0739530232</v>
      </c>
      <c r="G22" s="3">
        <f t="shared" si="6"/>
        <v>2329561.570495869</v>
      </c>
      <c r="H22" s="3">
        <f t="shared" si="6"/>
        <v>918250.16933742783</v>
      </c>
      <c r="I22" s="3">
        <f t="shared" si="6"/>
        <v>0</v>
      </c>
      <c r="J22" s="3">
        <f t="shared" si="6"/>
        <v>0</v>
      </c>
      <c r="K22" s="3"/>
      <c r="L22" s="3"/>
      <c r="M22" s="3"/>
      <c r="N22" s="3"/>
      <c r="O22" s="3"/>
      <c r="P22" s="3"/>
      <c r="Q22" s="3"/>
      <c r="R22" s="3"/>
      <c r="S22" s="3"/>
      <c r="T22" s="16">
        <f t="shared" si="4"/>
        <v>6738655.0531634241</v>
      </c>
      <c r="V22" s="3">
        <v>7118922.4656120017</v>
      </c>
      <c r="W22" s="16">
        <f t="shared" si="2"/>
        <v>-380267.41244857758</v>
      </c>
    </row>
    <row r="23" spans="1:24">
      <c r="A23" t="s">
        <v>47</v>
      </c>
      <c r="B23" s="9" t="s">
        <v>41</v>
      </c>
      <c r="C23" s="15">
        <v>5.9507746109287813E-4</v>
      </c>
      <c r="D23" s="3">
        <f t="shared" ref="D23:L23" si="7">D13*$C23</f>
        <v>332134.59735028149</v>
      </c>
      <c r="E23" s="3">
        <f t="shared" si="7"/>
        <v>31798.829761852616</v>
      </c>
      <c r="F23" s="3">
        <f t="shared" si="7"/>
        <v>532023.911732418</v>
      </c>
      <c r="G23" s="3">
        <f t="shared" si="7"/>
        <v>597903.60037240386</v>
      </c>
      <c r="H23" s="3">
        <f t="shared" si="7"/>
        <v>235677.42928234881</v>
      </c>
      <c r="I23" s="3">
        <f t="shared" si="7"/>
        <v>0</v>
      </c>
      <c r="J23" s="3">
        <f t="shared" si="7"/>
        <v>0</v>
      </c>
      <c r="K23" s="3">
        <f t="shared" si="7"/>
        <v>69425.568412972207</v>
      </c>
      <c r="L23" s="3">
        <f t="shared" si="7"/>
        <v>84695.903747075863</v>
      </c>
      <c r="M23" s="3"/>
      <c r="N23" s="3"/>
      <c r="O23" s="3"/>
      <c r="P23" s="3"/>
      <c r="Q23" s="3"/>
      <c r="R23" s="3"/>
      <c r="S23" s="3"/>
      <c r="T23" s="16">
        <f t="shared" si="4"/>
        <v>1883659.840659353</v>
      </c>
      <c r="V23" s="3">
        <v>1762001.63</v>
      </c>
      <c r="W23" s="16">
        <f t="shared" si="2"/>
        <v>121658.21065935306</v>
      </c>
    </row>
    <row r="24" spans="1:24">
      <c r="A24" t="s">
        <v>48</v>
      </c>
      <c r="B24" s="9" t="s">
        <v>41</v>
      </c>
      <c r="C24" s="15">
        <v>1.6465010113234058E-3</v>
      </c>
      <c r="D24" s="3">
        <f>D13*$C24</f>
        <v>918972.71563336556</v>
      </c>
      <c r="E24" s="3"/>
      <c r="F24" s="3">
        <f>F13*$C24</f>
        <v>1472040.1392902702</v>
      </c>
      <c r="G24" s="3"/>
      <c r="H24" s="3">
        <f>H13*$C24</f>
        <v>652088.42718867993</v>
      </c>
      <c r="I24" s="3">
        <f>I13*$C24</f>
        <v>0</v>
      </c>
      <c r="J24" s="3"/>
      <c r="K24" s="3">
        <f>K13*$C24</f>
        <v>192091.41007244424</v>
      </c>
      <c r="L24" s="3"/>
      <c r="M24" s="3">
        <f>M13*$C24</f>
        <v>57278.47025256644</v>
      </c>
      <c r="N24" s="3"/>
      <c r="O24" s="3"/>
      <c r="P24" s="3"/>
      <c r="Q24" s="3">
        <f>Q13*$C24</f>
        <v>218695.86950926471</v>
      </c>
      <c r="R24" s="3"/>
      <c r="S24" s="3"/>
      <c r="T24" s="16">
        <f t="shared" si="4"/>
        <v>3511167.0319465916</v>
      </c>
      <c r="V24" s="3">
        <v>8272040.8799999915</v>
      </c>
      <c r="W24" s="16">
        <f t="shared" si="2"/>
        <v>-4760873.8480533995</v>
      </c>
    </row>
    <row r="25" spans="1:24">
      <c r="A25" t="s">
        <v>49</v>
      </c>
      <c r="B25" s="9" t="s">
        <v>41</v>
      </c>
      <c r="C25" s="15">
        <v>4.174501412985053E-3</v>
      </c>
      <c r="D25" s="3"/>
      <c r="E25" s="3">
        <f>E13*$C25</f>
        <v>223070.55543380178</v>
      </c>
      <c r="F25" s="3"/>
      <c r="G25" s="3">
        <f>G13*$C25</f>
        <v>4194326.9368656017</v>
      </c>
      <c r="H25" s="3"/>
      <c r="I25" s="3"/>
      <c r="J25" s="3">
        <f>J13*$C25</f>
        <v>0</v>
      </c>
      <c r="K25" s="3"/>
      <c r="L25" s="3">
        <f>L13*$C25</f>
        <v>594146.46492724586</v>
      </c>
      <c r="M25" s="3"/>
      <c r="N25" s="3">
        <f>N13*$C25</f>
        <v>10844.146283805359</v>
      </c>
      <c r="O25" s="3"/>
      <c r="P25" s="3"/>
      <c r="Q25" s="3"/>
      <c r="R25" s="3">
        <f>R13*$C25</f>
        <v>2361.4821639010579</v>
      </c>
      <c r="S25" s="3"/>
      <c r="T25" s="16">
        <f t="shared" si="4"/>
        <v>5024749.5856743557</v>
      </c>
      <c r="V25" s="3"/>
      <c r="W25" s="16">
        <f t="shared" si="2"/>
        <v>5024749.5856743557</v>
      </c>
    </row>
    <row r="26" spans="1:24">
      <c r="A26" t="s">
        <v>50</v>
      </c>
      <c r="B26" s="9" t="s">
        <v>41</v>
      </c>
      <c r="C26" s="15">
        <v>2.2342134387833921E-3</v>
      </c>
      <c r="D26" s="3">
        <f t="shared" ref="D26:N26" si="8">D13*$C26</f>
        <v>1246996.61708258</v>
      </c>
      <c r="E26" s="3">
        <f t="shared" si="8"/>
        <v>119388.44509593656</v>
      </c>
      <c r="F26" s="3">
        <f t="shared" si="8"/>
        <v>1997479.4057292575</v>
      </c>
      <c r="G26" s="3">
        <f t="shared" si="8"/>
        <v>2244824.1554900776</v>
      </c>
      <c r="H26" s="3">
        <f t="shared" si="8"/>
        <v>884848.97202040581</v>
      </c>
      <c r="I26" s="3">
        <f t="shared" si="8"/>
        <v>0</v>
      </c>
      <c r="J26" s="3">
        <f t="shared" si="8"/>
        <v>0</v>
      </c>
      <c r="K26" s="3">
        <f t="shared" si="8"/>
        <v>260657.72623713754</v>
      </c>
      <c r="L26" s="3">
        <f t="shared" si="8"/>
        <v>317990.07479479589</v>
      </c>
      <c r="M26" s="3">
        <f t="shared" si="8"/>
        <v>77723.807705637882</v>
      </c>
      <c r="N26" s="3">
        <f t="shared" si="8"/>
        <v>5803.8397792962169</v>
      </c>
      <c r="O26" s="3"/>
      <c r="P26" s="3"/>
      <c r="Q26" s="3">
        <f>Q13*$C26</f>
        <v>296758.54876717401</v>
      </c>
      <c r="R26" s="3">
        <f>R13*$C26</f>
        <v>1263.8767277988031</v>
      </c>
      <c r="S26" s="3"/>
      <c r="T26" s="16">
        <f t="shared" si="4"/>
        <v>7453735.4694300983</v>
      </c>
      <c r="V26" s="3">
        <v>6981461.4571199995</v>
      </c>
      <c r="W26" s="16">
        <f t="shared" si="2"/>
        <v>472274.01231009886</v>
      </c>
      <c r="X26" t="s">
        <v>51</v>
      </c>
    </row>
    <row r="27" spans="1:24">
      <c r="A27" t="s">
        <v>52</v>
      </c>
      <c r="B27" s="9" t="s">
        <v>41</v>
      </c>
      <c r="C27" s="15">
        <v>0.11146418639775015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>
        <f>Q13*$C27</f>
        <v>14805188.090231083</v>
      </c>
      <c r="R27" s="3">
        <f>R13*$C27</f>
        <v>63054.401484513844</v>
      </c>
      <c r="S27" s="3"/>
      <c r="T27" s="16">
        <f t="shared" si="4"/>
        <v>14868242.491715597</v>
      </c>
      <c r="V27" s="3">
        <v>10312392.561516</v>
      </c>
      <c r="W27" s="16">
        <f t="shared" si="2"/>
        <v>4555849.930199597</v>
      </c>
    </row>
    <row r="28" spans="1:24">
      <c r="A28" t="s">
        <v>53</v>
      </c>
      <c r="B28" s="9" t="s">
        <v>54</v>
      </c>
      <c r="C28" s="17">
        <v>11235.768227109456</v>
      </c>
      <c r="D28" s="3">
        <f t="shared" ref="D28:J33" si="9">D$15*$C28</f>
        <v>51615316.445093036</v>
      </c>
      <c r="E28" s="3">
        <f t="shared" si="9"/>
        <v>8778199.3726199064</v>
      </c>
      <c r="F28" s="3">
        <f t="shared" si="9"/>
        <v>146102215.00754976</v>
      </c>
      <c r="G28" s="3">
        <f t="shared" si="9"/>
        <v>153152670.22156924</v>
      </c>
      <c r="H28" s="3">
        <f t="shared" si="9"/>
        <v>7345370.7371116374</v>
      </c>
      <c r="I28" s="3">
        <f t="shared" si="9"/>
        <v>0</v>
      </c>
      <c r="J28" s="3">
        <f t="shared" si="9"/>
        <v>0</v>
      </c>
      <c r="K28" s="3"/>
      <c r="L28" s="3"/>
      <c r="M28" s="3"/>
      <c r="N28" s="3"/>
      <c r="O28" s="3">
        <f t="shared" ref="O28:O33" si="10">O$15*$C28</f>
        <v>0</v>
      </c>
      <c r="P28" s="3"/>
      <c r="Q28" s="3"/>
      <c r="R28" s="3"/>
      <c r="S28" s="3"/>
      <c r="T28" s="16">
        <f t="shared" si="4"/>
        <v>366993771.78394359</v>
      </c>
      <c r="V28" s="3">
        <v>360049551.11842507</v>
      </c>
      <c r="W28" s="16">
        <f t="shared" si="2"/>
        <v>6944220.6655185223</v>
      </c>
    </row>
    <row r="29" spans="1:24">
      <c r="A29" t="s">
        <v>55</v>
      </c>
      <c r="B29" s="9" t="s">
        <v>54</v>
      </c>
      <c r="C29" s="17">
        <v>4.6224033967512543</v>
      </c>
      <c r="D29" s="3">
        <f t="shared" si="9"/>
        <v>21234.579535427853</v>
      </c>
      <c r="E29" s="3">
        <f t="shared" si="9"/>
        <v>3611.3577440531426</v>
      </c>
      <c r="F29" s="3">
        <f t="shared" si="9"/>
        <v>60106.559807305734</v>
      </c>
      <c r="G29" s="3">
        <f t="shared" si="9"/>
        <v>63007.122320805574</v>
      </c>
      <c r="H29" s="3">
        <f t="shared" si="9"/>
        <v>3021.8909788206806</v>
      </c>
      <c r="I29" s="3">
        <f t="shared" si="9"/>
        <v>0</v>
      </c>
      <c r="J29" s="3">
        <f t="shared" si="9"/>
        <v>0</v>
      </c>
      <c r="K29" s="3"/>
      <c r="L29" s="3"/>
      <c r="M29" s="3"/>
      <c r="N29" s="3"/>
      <c r="O29" s="3">
        <f t="shared" si="10"/>
        <v>0</v>
      </c>
      <c r="P29" s="3"/>
      <c r="Q29" s="3"/>
      <c r="R29" s="3"/>
      <c r="S29" s="3"/>
      <c r="T29" s="16">
        <f t="shared" si="4"/>
        <v>150981.51038641296</v>
      </c>
      <c r="V29" s="3">
        <v>268337.13322500006</v>
      </c>
      <c r="W29" s="16">
        <f t="shared" si="2"/>
        <v>-117355.62283858709</v>
      </c>
    </row>
    <row r="30" spans="1:24">
      <c r="A30" t="s">
        <v>56</v>
      </c>
      <c r="B30" s="9" t="s">
        <v>54</v>
      </c>
      <c r="C30" s="17">
        <v>45.523729540843149</v>
      </c>
      <c r="D30" s="3">
        <f t="shared" si="9"/>
        <v>209128.70918270489</v>
      </c>
      <c r="E30" s="3">
        <f t="shared" si="9"/>
        <v>35566.44868577482</v>
      </c>
      <c r="F30" s="3">
        <f t="shared" si="9"/>
        <v>591959.32017128251</v>
      </c>
      <c r="G30" s="3">
        <f t="shared" si="9"/>
        <v>620525.50361465721</v>
      </c>
      <c r="H30" s="3">
        <f t="shared" si="9"/>
        <v>29761.086563416909</v>
      </c>
      <c r="I30" s="3">
        <f t="shared" si="9"/>
        <v>0</v>
      </c>
      <c r="J30" s="3">
        <f t="shared" si="9"/>
        <v>0</v>
      </c>
      <c r="K30" s="3"/>
      <c r="L30" s="3"/>
      <c r="M30" s="3"/>
      <c r="N30" s="3"/>
      <c r="O30" s="3">
        <f t="shared" si="10"/>
        <v>0</v>
      </c>
      <c r="P30" s="3"/>
      <c r="Q30" s="3"/>
      <c r="R30" s="3"/>
      <c r="S30" s="3"/>
      <c r="T30" s="16">
        <f t="shared" si="4"/>
        <v>1486941.0682178366</v>
      </c>
      <c r="V30" s="3">
        <v>1458662.1336639998</v>
      </c>
      <c r="W30" s="16">
        <f t="shared" si="2"/>
        <v>28278.934553836705</v>
      </c>
    </row>
    <row r="31" spans="1:24">
      <c r="A31" t="s">
        <v>57</v>
      </c>
      <c r="B31" s="9" t="s">
        <v>54</v>
      </c>
      <c r="C31" s="17">
        <v>452.86515832503886</v>
      </c>
      <c r="D31" s="3">
        <f t="shared" si="9"/>
        <v>2080389.8746777102</v>
      </c>
      <c r="E31" s="3">
        <f t="shared" si="9"/>
        <v>353811.20083081111</v>
      </c>
      <c r="F31" s="3">
        <f t="shared" si="9"/>
        <v>5888747.5599035714</v>
      </c>
      <c r="G31" s="3">
        <f t="shared" si="9"/>
        <v>6172920.8760687038</v>
      </c>
      <c r="H31" s="3">
        <f t="shared" si="9"/>
        <v>296060.0837059046</v>
      </c>
      <c r="I31" s="3">
        <f t="shared" si="9"/>
        <v>0</v>
      </c>
      <c r="J31" s="3">
        <f t="shared" si="9"/>
        <v>0</v>
      </c>
      <c r="K31" s="3"/>
      <c r="L31" s="3"/>
      <c r="M31" s="3"/>
      <c r="N31" s="3"/>
      <c r="O31" s="3">
        <f t="shared" si="10"/>
        <v>0</v>
      </c>
      <c r="P31" s="3"/>
      <c r="Q31" s="3"/>
      <c r="R31" s="3"/>
      <c r="S31" s="3"/>
      <c r="T31" s="16">
        <f t="shared" si="4"/>
        <v>14791929.595186701</v>
      </c>
      <c r="V31" s="3">
        <v>14793741.055820001</v>
      </c>
      <c r="W31" s="16">
        <f t="shared" si="2"/>
        <v>-1811.4606333002448</v>
      </c>
    </row>
    <row r="32" spans="1:24">
      <c r="A32" t="s">
        <v>58</v>
      </c>
      <c r="B32" s="9" t="s">
        <v>54</v>
      </c>
      <c r="C32" s="17">
        <v>995.83424196870999</v>
      </c>
      <c r="D32" s="3">
        <f t="shared" si="9"/>
        <v>4574702.7250042958</v>
      </c>
      <c r="E32" s="3">
        <f t="shared" si="9"/>
        <v>778018.14182954584</v>
      </c>
      <c r="F32" s="3">
        <f t="shared" si="9"/>
        <v>12949144.694970524</v>
      </c>
      <c r="G32" s="3">
        <f t="shared" si="9"/>
        <v>13574031.625856752</v>
      </c>
      <c r="H32" s="3">
        <f t="shared" si="9"/>
        <v>651025.50641101378</v>
      </c>
      <c r="I32" s="3">
        <f t="shared" si="9"/>
        <v>0</v>
      </c>
      <c r="J32" s="3">
        <f t="shared" si="9"/>
        <v>0</v>
      </c>
      <c r="K32" s="3"/>
      <c r="L32" s="3"/>
      <c r="M32" s="3"/>
      <c r="N32" s="3"/>
      <c r="O32" s="3">
        <f t="shared" si="10"/>
        <v>0</v>
      </c>
      <c r="P32" s="3"/>
      <c r="Q32" s="3"/>
      <c r="R32" s="3"/>
      <c r="S32" s="3"/>
      <c r="T32" s="16">
        <f t="shared" si="4"/>
        <v>32526922.694072131</v>
      </c>
      <c r="V32" s="3">
        <v>32530906.031040005</v>
      </c>
      <c r="W32" s="16">
        <f t="shared" si="2"/>
        <v>-3983.3369678743184</v>
      </c>
    </row>
    <row r="33" spans="1:23">
      <c r="A33" t="s">
        <v>59</v>
      </c>
      <c r="B33" s="9" t="s">
        <v>54</v>
      </c>
      <c r="C33" s="17">
        <v>349.48342086409355</v>
      </c>
      <c r="D33" s="3">
        <f t="shared" si="9"/>
        <v>1605470.7604852847</v>
      </c>
      <c r="E33" s="3">
        <f t="shared" si="9"/>
        <v>273041.86805564642</v>
      </c>
      <c r="F33" s="3">
        <f t="shared" si="9"/>
        <v>4544442.4328247029</v>
      </c>
      <c r="G33" s="3">
        <f t="shared" si="9"/>
        <v>4763743.6107272049</v>
      </c>
      <c r="H33" s="3">
        <f t="shared" si="9"/>
        <v>228474.3900757019</v>
      </c>
      <c r="I33" s="3">
        <f t="shared" si="9"/>
        <v>0</v>
      </c>
      <c r="J33" s="3">
        <f t="shared" si="9"/>
        <v>0</v>
      </c>
      <c r="K33" s="3"/>
      <c r="L33" s="3"/>
      <c r="M33" s="3"/>
      <c r="N33" s="3"/>
      <c r="O33" s="3">
        <f t="shared" si="10"/>
        <v>0</v>
      </c>
      <c r="P33" s="3"/>
      <c r="Q33" s="3"/>
      <c r="R33" s="3"/>
      <c r="S33" s="3"/>
      <c r="T33" s="16">
        <f t="shared" si="4"/>
        <v>11415173.062168542</v>
      </c>
      <c r="V33" s="3">
        <v>11416570.995851997</v>
      </c>
      <c r="W33" s="16">
        <f t="shared" si="2"/>
        <v>-1397.9336834549904</v>
      </c>
    </row>
    <row r="34" spans="1:23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23"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23" ht="13.5" thickBot="1">
      <c r="A36" t="s">
        <v>60</v>
      </c>
      <c r="D36" s="18">
        <f t="shared" ref="D36:R36" si="11">SUM(D18:D35)</f>
        <v>151272210.6477088</v>
      </c>
      <c r="E36" s="18">
        <f t="shared" si="11"/>
        <v>19085637.804691594</v>
      </c>
      <c r="F36" s="18">
        <f t="shared" si="11"/>
        <v>316169203.15192521</v>
      </c>
      <c r="G36" s="18">
        <f t="shared" si="11"/>
        <v>345002479.7590552</v>
      </c>
      <c r="H36" s="18">
        <f t="shared" si="11"/>
        <v>73243634.716357872</v>
      </c>
      <c r="I36" s="18">
        <f t="shared" si="11"/>
        <v>0</v>
      </c>
      <c r="J36" s="18">
        <f t="shared" si="11"/>
        <v>0</v>
      </c>
      <c r="K36" s="18">
        <f t="shared" si="11"/>
        <v>18507407.222150549</v>
      </c>
      <c r="L36" s="18">
        <f t="shared" si="11"/>
        <v>22937963.888065767</v>
      </c>
      <c r="M36" s="18">
        <f t="shared" si="11"/>
        <v>135002.27795820433</v>
      </c>
      <c r="N36" s="18">
        <f t="shared" si="11"/>
        <v>16647.986063101576</v>
      </c>
      <c r="O36" s="18">
        <f t="shared" si="11"/>
        <v>0</v>
      </c>
      <c r="P36" s="18">
        <f t="shared" si="11"/>
        <v>0</v>
      </c>
      <c r="Q36" s="18">
        <f t="shared" si="11"/>
        <v>15320642.508507522</v>
      </c>
      <c r="R36" s="18">
        <f t="shared" si="11"/>
        <v>66679.760376213701</v>
      </c>
      <c r="S36" s="3"/>
      <c r="T36" s="19">
        <f>SUM(D36:S36)</f>
        <v>961757509.72285998</v>
      </c>
      <c r="V36" s="16">
        <f>SUM(V18:V33)</f>
        <v>932094424.66872203</v>
      </c>
      <c r="W36" s="16">
        <f>T36-V36</f>
        <v>29663085.054137945</v>
      </c>
    </row>
    <row r="37" spans="1:23" ht="13.5" thickTop="1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3"/>
    </row>
    <row r="38" spans="1:23">
      <c r="A38" s="1" t="s">
        <v>61</v>
      </c>
      <c r="D38" s="21">
        <f t="shared" ref="D38:R38" si="12">D36/D13</f>
        <v>0.27103073201136152</v>
      </c>
      <c r="E38" s="21">
        <f t="shared" si="12"/>
        <v>0.35716512127056455</v>
      </c>
      <c r="F38" s="21">
        <f t="shared" si="12"/>
        <v>0.35364043333081213</v>
      </c>
      <c r="G38" s="21">
        <f t="shared" si="12"/>
        <v>0.34337174019004513</v>
      </c>
      <c r="H38" s="21">
        <f t="shared" si="12"/>
        <v>0.18493767655623694</v>
      </c>
      <c r="I38" s="21">
        <f>0</f>
        <v>0</v>
      </c>
      <c r="J38" s="21">
        <f>0</f>
        <v>0</v>
      </c>
      <c r="K38" s="21">
        <f t="shared" si="12"/>
        <v>0.15863522838815527</v>
      </c>
      <c r="L38" s="21">
        <f t="shared" si="12"/>
        <v>0.16116322878981693</v>
      </c>
      <c r="M38" s="21">
        <f t="shared" si="12"/>
        <v>3.8807144501067981E-3</v>
      </c>
      <c r="N38" s="21">
        <f t="shared" si="12"/>
        <v>6.4087148517684451E-3</v>
      </c>
      <c r="O38" s="21" t="e">
        <f t="shared" si="12"/>
        <v>#DIV/0!</v>
      </c>
      <c r="P38" s="21" t="e">
        <f t="shared" si="12"/>
        <v>#DIV/0!</v>
      </c>
      <c r="Q38" s="21">
        <f t="shared" si="12"/>
        <v>0.11534490084785694</v>
      </c>
      <c r="R38" s="21">
        <f t="shared" si="12"/>
        <v>0.11787290124951857</v>
      </c>
      <c r="S38" s="3"/>
    </row>
    <row r="39" spans="1:23"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3"/>
    </row>
    <row r="40" spans="1:23"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3"/>
    </row>
    <row r="41" spans="1:23">
      <c r="A41" t="s">
        <v>62</v>
      </c>
      <c r="D41" s="20">
        <f>D36-D72</f>
        <v>138980034.99512613</v>
      </c>
      <c r="E41" s="22"/>
      <c r="F41" s="20">
        <f>F36-E72</f>
        <v>279903213.72794008</v>
      </c>
      <c r="G41" s="22"/>
      <c r="H41" s="22"/>
      <c r="I41" s="20">
        <f>I36-F72</f>
        <v>0</v>
      </c>
      <c r="J41" s="22"/>
      <c r="K41" s="20">
        <f>K36-G72</f>
        <v>14998410.879563781</v>
      </c>
      <c r="L41" s="22"/>
      <c r="M41" s="20">
        <f>M36</f>
        <v>135002.27795820433</v>
      </c>
      <c r="N41" s="22"/>
      <c r="O41" s="20">
        <f>O36</f>
        <v>0</v>
      </c>
      <c r="P41" s="22"/>
      <c r="Q41" s="20">
        <f>Q36-I72</f>
        <v>10234445.653201493</v>
      </c>
      <c r="R41" s="22"/>
      <c r="S41" s="3"/>
    </row>
    <row r="42" spans="1:23"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3"/>
    </row>
    <row r="43" spans="1:23">
      <c r="A43" t="s">
        <v>63</v>
      </c>
      <c r="D43" s="20">
        <f>D13-D74</f>
        <v>512296801.74803096</v>
      </c>
      <c r="E43" s="22"/>
      <c r="F43" s="20">
        <f>F13-E74</f>
        <v>790000277.34993815</v>
      </c>
      <c r="G43" s="22"/>
      <c r="H43" s="22"/>
      <c r="I43" s="20">
        <f>I13-F74</f>
        <v>0</v>
      </c>
      <c r="J43" s="22"/>
      <c r="K43" s="20">
        <f>K13-G74</f>
        <v>94546533.150033012</v>
      </c>
      <c r="L43" s="22"/>
      <c r="M43" s="20">
        <f>M13</f>
        <v>34787995.791467994</v>
      </c>
      <c r="N43" s="22"/>
      <c r="O43" s="20">
        <f>O13</f>
        <v>0</v>
      </c>
      <c r="P43" s="22"/>
      <c r="Q43" s="20">
        <f>Q13-I74</f>
        <v>86887467.011464015</v>
      </c>
      <c r="R43" s="22"/>
      <c r="S43" s="3"/>
    </row>
    <row r="44" spans="1:23"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3"/>
    </row>
    <row r="45" spans="1:23"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3"/>
    </row>
    <row r="46" spans="1:23">
      <c r="A46" s="1" t="s">
        <v>64</v>
      </c>
      <c r="D46" s="22"/>
      <c r="E46" s="22"/>
      <c r="F46" s="23">
        <f>(F36+I36)/(F13+I13)</f>
        <v>0.35364043333081213</v>
      </c>
      <c r="G46" s="23">
        <f>(G36+J36)/(G13+J13)</f>
        <v>0.34337174019004513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3"/>
    </row>
    <row r="47" spans="1:23">
      <c r="D47" s="22"/>
      <c r="E47" s="22"/>
      <c r="F47" s="24" t="s">
        <v>34</v>
      </c>
      <c r="G47" s="24" t="s">
        <v>33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3"/>
    </row>
    <row r="48" spans="1:23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3"/>
    </row>
    <row r="49" spans="1:19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>
      <c r="A50" s="1" t="s">
        <v>65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>
      <c r="A52" t="s">
        <v>66</v>
      </c>
      <c r="D52" s="25">
        <v>8.2130309391686085E-2</v>
      </c>
      <c r="E52" s="25">
        <v>0.11637711117787404</v>
      </c>
      <c r="F52" s="25">
        <v>0</v>
      </c>
      <c r="G52" s="25">
        <v>0.1895995641348959</v>
      </c>
      <c r="H52" s="25"/>
      <c r="I52" s="26">
        <f>J84</f>
        <v>0.32908344657092109</v>
      </c>
      <c r="J52" s="3" t="s">
        <v>67</v>
      </c>
      <c r="K52" s="3"/>
      <c r="L52" s="3"/>
      <c r="M52" s="3"/>
      <c r="N52" s="3"/>
      <c r="O52" s="3"/>
      <c r="P52" s="3"/>
      <c r="Q52" s="3"/>
      <c r="R52" s="3"/>
      <c r="S52" s="3"/>
    </row>
    <row r="53" spans="1:19">
      <c r="D53" s="11" t="s">
        <v>17</v>
      </c>
      <c r="E53" s="11" t="s">
        <v>19</v>
      </c>
      <c r="F53" s="11" t="s">
        <v>20</v>
      </c>
      <c r="G53" s="11" t="s">
        <v>22</v>
      </c>
      <c r="H53" s="11"/>
      <c r="I53" s="11" t="s">
        <v>68</v>
      </c>
    </row>
    <row r="54" spans="1:19">
      <c r="J54">
        <v>5</v>
      </c>
      <c r="K54">
        <v>7</v>
      </c>
    </row>
    <row r="55" spans="1:19">
      <c r="A55" t="s">
        <v>40</v>
      </c>
      <c r="D55" s="16">
        <f t="shared" ref="D55:D69" si="13">D18*D$52</f>
        <v>6440512.0724787228</v>
      </c>
      <c r="E55" s="16">
        <f t="shared" ref="E55:E66" si="14">F18*E$52</f>
        <v>0</v>
      </c>
      <c r="F55" s="16">
        <f t="shared" ref="F55:F66" si="15">I18*F$52</f>
        <v>0</v>
      </c>
      <c r="G55" s="16">
        <f t="shared" ref="G55:G66" si="16">K18*G$52</f>
        <v>3107846.7950833337</v>
      </c>
      <c r="H55" s="16"/>
      <c r="I55" s="27">
        <f t="shared" ref="I55:I66" si="17">(M18+O18+Q18)*I$52</f>
        <v>0</v>
      </c>
    </row>
    <row r="56" spans="1:19">
      <c r="A56" t="s">
        <v>42</v>
      </c>
      <c r="D56" s="16">
        <f t="shared" si="13"/>
        <v>0</v>
      </c>
      <c r="E56" s="16">
        <f t="shared" si="14"/>
        <v>14618457.429865083</v>
      </c>
      <c r="F56" s="16">
        <f t="shared" si="15"/>
        <v>0</v>
      </c>
      <c r="G56" s="16">
        <f t="shared" si="16"/>
        <v>0</v>
      </c>
      <c r="H56" s="16"/>
      <c r="I56" s="27">
        <f t="shared" si="17"/>
        <v>0</v>
      </c>
    </row>
    <row r="57" spans="1:19">
      <c r="A57" t="s">
        <v>44</v>
      </c>
      <c r="D57" s="16">
        <f t="shared" si="13"/>
        <v>626147.79738853232</v>
      </c>
      <c r="E57" s="16">
        <f t="shared" si="14"/>
        <v>1421209.1861517562</v>
      </c>
      <c r="F57" s="16">
        <f t="shared" si="15"/>
        <v>0</v>
      </c>
      <c r="G57" s="16">
        <f t="shared" si="16"/>
        <v>302145.45108577114</v>
      </c>
      <c r="H57" s="16"/>
      <c r="I57" s="27">
        <f t="shared" si="17"/>
        <v>0</v>
      </c>
    </row>
    <row r="58" spans="1:19">
      <c r="A58" t="s">
        <v>45</v>
      </c>
      <c r="D58" s="16">
        <f t="shared" si="13"/>
        <v>109376.98673059998</v>
      </c>
      <c r="E58" s="16">
        <f t="shared" si="14"/>
        <v>248260.2014148272</v>
      </c>
      <c r="F58" s="16">
        <f t="shared" si="15"/>
        <v>0</v>
      </c>
      <c r="G58" s="16">
        <f t="shared" si="16"/>
        <v>0</v>
      </c>
      <c r="H58" s="16"/>
      <c r="I58" s="27">
        <f t="shared" si="17"/>
        <v>0</v>
      </c>
    </row>
    <row r="59" spans="1:19">
      <c r="A59" t="s">
        <v>46</v>
      </c>
      <c r="D59" s="16">
        <f t="shared" si="13"/>
        <v>106282.21591350641</v>
      </c>
      <c r="E59" s="16">
        <f t="shared" si="14"/>
        <v>241235.79482483075</v>
      </c>
      <c r="F59" s="16">
        <f t="shared" si="15"/>
        <v>0</v>
      </c>
      <c r="G59" s="16">
        <f t="shared" si="16"/>
        <v>0</v>
      </c>
      <c r="H59" s="16"/>
      <c r="I59" s="27">
        <f t="shared" si="17"/>
        <v>0</v>
      </c>
    </row>
    <row r="60" spans="1:19">
      <c r="A60" t="s">
        <v>47</v>
      </c>
      <c r="D60" s="16">
        <f t="shared" si="13"/>
        <v>27278.3172400617</v>
      </c>
      <c r="E60" s="16">
        <f t="shared" si="14"/>
        <v>61915.405924971055</v>
      </c>
      <c r="F60" s="16">
        <f t="shared" si="15"/>
        <v>0</v>
      </c>
      <c r="G60" s="16">
        <f t="shared" si="16"/>
        <v>13163.057510916928</v>
      </c>
      <c r="H60" s="16"/>
      <c r="I60" s="27">
        <f t="shared" si="17"/>
        <v>0</v>
      </c>
    </row>
    <row r="61" spans="1:19">
      <c r="A61" t="s">
        <v>48</v>
      </c>
      <c r="D61" s="16">
        <f t="shared" si="13"/>
        <v>75475.513457486275</v>
      </c>
      <c r="E61" s="16">
        <f t="shared" si="14"/>
        <v>171311.77894847695</v>
      </c>
      <c r="F61" s="16">
        <f t="shared" si="15"/>
        <v>0</v>
      </c>
      <c r="G61" s="16">
        <f t="shared" si="16"/>
        <v>36420.447623792978</v>
      </c>
      <c r="H61" s="16"/>
      <c r="I61" s="16">
        <f t="shared" si="17"/>
        <v>90818.586893957792</v>
      </c>
      <c r="J61" s="27">
        <f>I61*K82</f>
        <v>184.58189311347562</v>
      </c>
      <c r="K61" s="27">
        <f>I61-J61</f>
        <v>90634.005000844321</v>
      </c>
    </row>
    <row r="62" spans="1:19">
      <c r="A62" t="s">
        <v>49</v>
      </c>
      <c r="D62" s="16">
        <f t="shared" si="13"/>
        <v>0</v>
      </c>
      <c r="E62" s="16">
        <f t="shared" si="14"/>
        <v>0</v>
      </c>
      <c r="F62" s="16">
        <f t="shared" si="15"/>
        <v>0</v>
      </c>
      <c r="G62" s="16">
        <f t="shared" si="16"/>
        <v>0</v>
      </c>
      <c r="H62" s="16"/>
      <c r="I62" s="16">
        <f t="shared" si="17"/>
        <v>0</v>
      </c>
    </row>
    <row r="63" spans="1:19">
      <c r="A63" t="s">
        <v>69</v>
      </c>
      <c r="D63" s="16">
        <f t="shared" si="13"/>
        <v>102416.2179713782</v>
      </c>
      <c r="E63" s="16">
        <f t="shared" si="14"/>
        <v>232460.88287606757</v>
      </c>
      <c r="F63" s="16">
        <f t="shared" si="15"/>
        <v>0</v>
      </c>
      <c r="G63" s="16">
        <f t="shared" si="16"/>
        <v>49420.591282954294</v>
      </c>
      <c r="H63" s="16"/>
      <c r="I63" s="16">
        <f t="shared" si="17"/>
        <v>123235.94454807322</v>
      </c>
      <c r="J63" s="27">
        <f>I63*K82</f>
        <v>250.4677150600329</v>
      </c>
      <c r="K63" s="27">
        <f>I63-J63</f>
        <v>122985.47683301319</v>
      </c>
    </row>
    <row r="64" spans="1:19" ht="10.5" customHeight="1">
      <c r="A64" t="s">
        <v>52</v>
      </c>
      <c r="D64" s="16">
        <f t="shared" si="13"/>
        <v>0</v>
      </c>
      <c r="E64" s="16">
        <f t="shared" si="14"/>
        <v>0</v>
      </c>
      <c r="F64" s="16">
        <f t="shared" si="15"/>
        <v>0</v>
      </c>
      <c r="G64" s="16">
        <f t="shared" si="16"/>
        <v>0</v>
      </c>
      <c r="H64" s="16"/>
      <c r="I64" s="16">
        <f t="shared" si="17"/>
        <v>4872142.3238639981</v>
      </c>
      <c r="J64">
        <v>0</v>
      </c>
      <c r="K64" s="16">
        <f>I64-J64</f>
        <v>4872142.3238639981</v>
      </c>
    </row>
    <row r="65" spans="1:10">
      <c r="A65" t="s">
        <v>53</v>
      </c>
      <c r="D65" s="16">
        <f t="shared" si="13"/>
        <v>4239181.9089852739</v>
      </c>
      <c r="E65" s="16">
        <f t="shared" si="14"/>
        <v>17002953.719267275</v>
      </c>
      <c r="F65" s="16">
        <f t="shared" si="15"/>
        <v>0</v>
      </c>
      <c r="G65" s="27">
        <f t="shared" si="16"/>
        <v>0</v>
      </c>
      <c r="H65" s="27"/>
      <c r="I65" s="16">
        <f t="shared" si="17"/>
        <v>0</v>
      </c>
    </row>
    <row r="66" spans="1:10">
      <c r="A66" t="s">
        <v>55</v>
      </c>
      <c r="D66" s="16">
        <f t="shared" si="13"/>
        <v>1744.0025870470554</v>
      </c>
      <c r="E66" s="16">
        <f t="shared" si="14"/>
        <v>6995.0277932143545</v>
      </c>
      <c r="F66" s="16">
        <f t="shared" si="15"/>
        <v>0</v>
      </c>
      <c r="G66" s="27">
        <f t="shared" si="16"/>
        <v>0</v>
      </c>
      <c r="H66" s="27"/>
      <c r="I66" s="16">
        <f t="shared" si="17"/>
        <v>0</v>
      </c>
    </row>
    <row r="67" spans="1:10">
      <c r="A67" t="s">
        <v>56</v>
      </c>
      <c r="D67" s="16">
        <f t="shared" si="13"/>
        <v>17175.805587859497</v>
      </c>
      <c r="E67" s="16">
        <f>F30*E$52</f>
        <v>68890.515616352073</v>
      </c>
      <c r="F67" s="16">
        <f>I30*F$52</f>
        <v>0</v>
      </c>
      <c r="G67" s="16">
        <f>K30*G$52</f>
        <v>0</v>
      </c>
      <c r="H67" s="16"/>
      <c r="I67" s="16">
        <f>(M30+O30+Q30)*I$52</f>
        <v>0</v>
      </c>
    </row>
    <row r="68" spans="1:10">
      <c r="A68" t="s">
        <v>57</v>
      </c>
      <c r="D68" s="16">
        <f t="shared" si="13"/>
        <v>170863.06406261137</v>
      </c>
      <c r="E68" s="16">
        <f>F31*E$52</f>
        <v>685315.42947733239</v>
      </c>
      <c r="F68" s="16">
        <f>I31*F$52</f>
        <v>0</v>
      </c>
      <c r="G68" s="16">
        <f>K31*G$52</f>
        <v>0</v>
      </c>
      <c r="H68" s="16"/>
      <c r="I68" s="16">
        <f>(M31+O31+Q31)*I$52</f>
        <v>0</v>
      </c>
    </row>
    <row r="69" spans="1:10">
      <c r="A69" t="s">
        <v>58</v>
      </c>
      <c r="D69" s="16">
        <f t="shared" si="13"/>
        <v>375721.75017959223</v>
      </c>
      <c r="E69" s="16">
        <f>F32*E$52</f>
        <v>1506984.0518249625</v>
      </c>
      <c r="F69" s="16">
        <f>I32*F$52</f>
        <v>0</v>
      </c>
      <c r="G69" s="16">
        <f>K32*G$52</f>
        <v>0</v>
      </c>
      <c r="H69" s="16"/>
      <c r="I69" s="16">
        <f>(M32+O32+Q32)*I$52</f>
        <v>0</v>
      </c>
    </row>
    <row r="70" spans="1:10">
      <c r="A70" s="28" t="s">
        <v>70</v>
      </c>
      <c r="B70" s="28"/>
      <c r="C70" s="28"/>
      <c r="D70" s="16"/>
      <c r="E70" s="16"/>
      <c r="F70" s="16"/>
      <c r="G70" s="16"/>
      <c r="H70" s="16"/>
      <c r="I70" s="16"/>
    </row>
    <row r="72" spans="1:10" ht="13.5" thickBot="1">
      <c r="A72" t="s">
        <v>71</v>
      </c>
      <c r="D72" s="29">
        <f>SUM(D55:D71)</f>
        <v>12292175.652582671</v>
      </c>
      <c r="E72" s="29">
        <f>SUM(E55:E71)</f>
        <v>36265989.423985153</v>
      </c>
      <c r="F72" s="29">
        <f>SUM(F55:F71)</f>
        <v>0</v>
      </c>
      <c r="G72" s="29">
        <f>SUM(G55:G71)</f>
        <v>3508996.3425867693</v>
      </c>
      <c r="H72" s="29"/>
      <c r="I72" s="29">
        <f>SUM(I55:I71)</f>
        <v>5086196.8553060293</v>
      </c>
    </row>
    <row r="73" spans="1:10" ht="13.5" thickTop="1"/>
    <row r="74" spans="1:10" ht="13.5" thickBot="1">
      <c r="A74" t="s">
        <v>72</v>
      </c>
      <c r="D74" s="30">
        <v>45839943.576361015</v>
      </c>
      <c r="E74" s="30">
        <v>104041165.179812</v>
      </c>
      <c r="F74" s="30">
        <v>0</v>
      </c>
      <c r="G74" s="30">
        <v>22119906.014827996</v>
      </c>
      <c r="H74" s="30"/>
      <c r="I74" s="30">
        <v>45937151.986785993</v>
      </c>
    </row>
    <row r="75" spans="1:10" ht="13.5" thickTop="1"/>
    <row r="77" spans="1:10">
      <c r="A77" s="1" t="s">
        <v>73</v>
      </c>
    </row>
    <row r="78" spans="1:10">
      <c r="E78" s="9" t="s">
        <v>74</v>
      </c>
      <c r="F78" s="9" t="s">
        <v>75</v>
      </c>
      <c r="G78" s="9" t="s">
        <v>76</v>
      </c>
      <c r="H78" s="9"/>
      <c r="I78" s="9" t="s">
        <v>77</v>
      </c>
    </row>
    <row r="79" spans="1:10">
      <c r="D79" s="9" t="s">
        <v>76</v>
      </c>
      <c r="E79" s="9" t="s">
        <v>78</v>
      </c>
      <c r="F79" s="9" t="s">
        <v>79</v>
      </c>
      <c r="G79" s="9" t="s">
        <v>80</v>
      </c>
      <c r="H79" s="9"/>
      <c r="I79" s="9" t="s">
        <v>81</v>
      </c>
      <c r="J79" s="9"/>
    </row>
    <row r="80" spans="1:10">
      <c r="D80" s="31" t="s">
        <v>82</v>
      </c>
      <c r="E80" s="31" t="s">
        <v>83</v>
      </c>
      <c r="F80" s="31" t="s">
        <v>84</v>
      </c>
      <c r="G80" s="31" t="s">
        <v>85</v>
      </c>
      <c r="H80" s="31"/>
      <c r="I80" s="11" t="s">
        <v>86</v>
      </c>
      <c r="J80" s="31" t="s">
        <v>87</v>
      </c>
    </row>
    <row r="82" spans="1:11">
      <c r="A82" t="s">
        <v>88</v>
      </c>
      <c r="D82" s="3">
        <f>D84-D83</f>
        <v>2888062.4704829976</v>
      </c>
      <c r="E82" s="3">
        <f>E84-E83</f>
        <v>37717262.026601017</v>
      </c>
      <c r="F82" s="3">
        <f>M36+O36</f>
        <v>135002.27795820433</v>
      </c>
      <c r="G82" s="32">
        <f>F82/E82</f>
        <v>3.5793233841573836E-3</v>
      </c>
      <c r="H82" s="32"/>
      <c r="I82" s="3">
        <f>D82*G82</f>
        <v>10337.309535507136</v>
      </c>
      <c r="K82">
        <f>I82/I84</f>
        <v>2.0324241922966535E-3</v>
      </c>
    </row>
    <row r="83" spans="1:11">
      <c r="A83" t="s">
        <v>89</v>
      </c>
      <c r="D83" s="33">
        <v>43049089.516302995</v>
      </c>
      <c r="E83" s="33">
        <v>129936556.527767</v>
      </c>
      <c r="F83" s="33">
        <f>Q36</f>
        <v>15320642.508507522</v>
      </c>
      <c r="G83" s="32">
        <f>F83/E83</f>
        <v>0.11790863878429433</v>
      </c>
      <c r="H83" s="32"/>
      <c r="I83" s="3">
        <f>D83*G83</f>
        <v>5075859.5457705222</v>
      </c>
    </row>
    <row r="84" spans="1:11">
      <c r="A84" t="s">
        <v>90</v>
      </c>
      <c r="D84" s="3">
        <v>45937151.986785993</v>
      </c>
      <c r="E84" s="3">
        <v>167653818.55436802</v>
      </c>
      <c r="F84" s="34">
        <f>SUM(F82:F83)</f>
        <v>15455644.786465727</v>
      </c>
      <c r="G84" s="3"/>
      <c r="H84" s="3"/>
      <c r="I84" s="34">
        <f>SUM(I82:I83)</f>
        <v>5086196.8553060293</v>
      </c>
      <c r="J84" s="35">
        <f>I84/F84</f>
        <v>0.32908344657092109</v>
      </c>
    </row>
    <row r="85" spans="1:11">
      <c r="D85" s="3"/>
      <c r="E85" s="3"/>
      <c r="F85" s="3"/>
      <c r="G85" s="3"/>
      <c r="H85" s="3"/>
      <c r="I85" s="3"/>
    </row>
    <row r="87" spans="1:11">
      <c r="A87" t="s">
        <v>93</v>
      </c>
      <c r="D87" s="9" t="s">
        <v>17</v>
      </c>
      <c r="E87" s="9" t="s">
        <v>92</v>
      </c>
      <c r="F87" s="9" t="s">
        <v>22</v>
      </c>
      <c r="G87" s="9" t="s">
        <v>24</v>
      </c>
      <c r="H87" s="9" t="s">
        <v>28</v>
      </c>
      <c r="I87" s="9"/>
      <c r="K87" s="9"/>
    </row>
    <row r="88" spans="1:11">
      <c r="D88" t="s">
        <v>91</v>
      </c>
      <c r="E88" t="s">
        <v>91</v>
      </c>
      <c r="F88" t="s">
        <v>91</v>
      </c>
      <c r="G88" t="s">
        <v>91</v>
      </c>
      <c r="H88" t="s">
        <v>91</v>
      </c>
      <c r="J88" t="s">
        <v>98</v>
      </c>
    </row>
    <row r="89" spans="1:11">
      <c r="A89" t="s">
        <v>40</v>
      </c>
      <c r="B89" t="s">
        <v>41</v>
      </c>
      <c r="C89" s="15">
        <v>0.14050000000000001</v>
      </c>
      <c r="D89" s="16">
        <f>D18-D55</f>
        <v>71977700.645598352</v>
      </c>
      <c r="E89" s="16">
        <f>F18-E55</f>
        <v>0</v>
      </c>
      <c r="F89" s="16">
        <f>K18-G55</f>
        <v>13283787.907579638</v>
      </c>
    </row>
    <row r="90" spans="1:11">
      <c r="A90" t="s">
        <v>42</v>
      </c>
      <c r="B90" t="s">
        <v>41</v>
      </c>
      <c r="C90" s="15">
        <v>0.14050000000000001</v>
      </c>
      <c r="D90" s="16">
        <f t="shared" ref="D90:D104" si="18">D19-D56</f>
        <v>0</v>
      </c>
      <c r="E90" s="16">
        <f t="shared" ref="E90:E104" si="19">F19-E56</f>
        <v>110994365.24556482</v>
      </c>
      <c r="F90" s="16">
        <f t="shared" ref="F90:F104" si="20">K19-G56</f>
        <v>0</v>
      </c>
    </row>
    <row r="91" spans="1:11">
      <c r="A91" t="s">
        <v>44</v>
      </c>
      <c r="B91" t="s">
        <v>41</v>
      </c>
      <c r="C91" s="15">
        <v>1.3659436476955602E-2</v>
      </c>
      <c r="D91" s="16">
        <f t="shared" si="18"/>
        <v>6997685.6208247468</v>
      </c>
      <c r="E91" s="16">
        <f t="shared" si="19"/>
        <v>10790893.105849119</v>
      </c>
      <c r="F91" s="16">
        <f t="shared" si="20"/>
        <v>1291452.363679253</v>
      </c>
    </row>
    <row r="92" spans="1:11">
      <c r="A92" t="s">
        <v>45</v>
      </c>
      <c r="B92" t="s">
        <v>41</v>
      </c>
      <c r="C92" s="15">
        <v>2.3860628569142501E-3</v>
      </c>
      <c r="D92" s="16">
        <f t="shared" si="18"/>
        <v>1222372.3703669398</v>
      </c>
      <c r="E92" s="16">
        <f t="shared" si="19"/>
        <v>1884978.8771474455</v>
      </c>
      <c r="F92" s="16">
        <f t="shared" si="20"/>
        <v>0</v>
      </c>
    </row>
    <row r="93" spans="1:11">
      <c r="A93" t="s">
        <v>46</v>
      </c>
      <c r="B93" t="s">
        <v>41</v>
      </c>
      <c r="C93" s="15">
        <v>2.318550321434396E-3</v>
      </c>
      <c r="D93" s="16">
        <f t="shared" si="18"/>
        <v>1187785.9143627102</v>
      </c>
      <c r="E93" s="16">
        <f t="shared" si="19"/>
        <v>1831644.2791281925</v>
      </c>
      <c r="F93" s="16">
        <f t="shared" si="20"/>
        <v>0</v>
      </c>
    </row>
    <row r="94" spans="1:11">
      <c r="A94" t="s">
        <v>47</v>
      </c>
      <c r="B94" t="s">
        <v>41</v>
      </c>
      <c r="C94" s="15">
        <v>5.9507746109287813E-4</v>
      </c>
      <c r="D94" s="16">
        <f t="shared" si="18"/>
        <v>304856.28011021978</v>
      </c>
      <c r="E94" s="16">
        <f t="shared" si="19"/>
        <v>470108.50580744696</v>
      </c>
      <c r="F94" s="16">
        <f t="shared" si="20"/>
        <v>56262.510902055277</v>
      </c>
    </row>
    <row r="95" spans="1:11">
      <c r="A95" t="s">
        <v>48</v>
      </c>
      <c r="B95" t="s">
        <v>41</v>
      </c>
      <c r="C95" s="15">
        <v>1.6465010113234058E-3</v>
      </c>
      <c r="D95" s="16">
        <f t="shared" si="18"/>
        <v>843497.20217587927</v>
      </c>
      <c r="E95" s="16">
        <f t="shared" si="19"/>
        <v>1300728.3603417932</v>
      </c>
      <c r="F95" s="16">
        <f t="shared" si="20"/>
        <v>155670.96244865126</v>
      </c>
      <c r="G95" s="27">
        <f>M24-J61</f>
        <v>57093.888359452962</v>
      </c>
      <c r="H95" s="27">
        <f>Q24-K61</f>
        <v>128061.86450842039</v>
      </c>
    </row>
    <row r="96" spans="1:11">
      <c r="A96" t="s">
        <v>49</v>
      </c>
      <c r="B96" t="s">
        <v>41</v>
      </c>
      <c r="C96" s="15">
        <v>4.174501412985053E-3</v>
      </c>
      <c r="D96" s="16">
        <f t="shared" si="18"/>
        <v>0</v>
      </c>
      <c r="E96" s="16">
        <f t="shared" si="19"/>
        <v>0</v>
      </c>
      <c r="F96" s="16">
        <f t="shared" si="20"/>
        <v>0</v>
      </c>
    </row>
    <row r="97" spans="1:8">
      <c r="A97" t="s">
        <v>50</v>
      </c>
      <c r="B97" t="s">
        <v>41</v>
      </c>
      <c r="C97" s="15">
        <v>2.2342134387833921E-3</v>
      </c>
      <c r="D97" s="16">
        <f t="shared" si="18"/>
        <v>1144580.3991112018</v>
      </c>
      <c r="E97" s="16">
        <f t="shared" si="19"/>
        <v>1765018.5228531898</v>
      </c>
      <c r="F97" s="16">
        <f t="shared" si="20"/>
        <v>211237.13495418325</v>
      </c>
      <c r="G97" s="27">
        <f>M26-J63</f>
        <v>77473.33999057785</v>
      </c>
      <c r="H97" s="27">
        <f>Q26-K63</f>
        <v>173773.07193416083</v>
      </c>
    </row>
    <row r="98" spans="1:8">
      <c r="A98" t="s">
        <v>52</v>
      </c>
      <c r="B98" t="s">
        <v>41</v>
      </c>
      <c r="C98" s="15">
        <v>0.11146418639775015</v>
      </c>
      <c r="D98" s="16">
        <f t="shared" si="18"/>
        <v>0</v>
      </c>
      <c r="E98" s="16">
        <f t="shared" si="19"/>
        <v>0</v>
      </c>
      <c r="F98" s="16">
        <f t="shared" si="20"/>
        <v>0</v>
      </c>
      <c r="H98" s="16">
        <f>Q27-K64</f>
        <v>9933045.7663670853</v>
      </c>
    </row>
    <row r="99" spans="1:8">
      <c r="A99" t="s">
        <v>53</v>
      </c>
      <c r="B99" t="s">
        <v>54</v>
      </c>
      <c r="C99" s="17">
        <v>11235.768227109456</v>
      </c>
      <c r="D99" s="16">
        <f t="shared" si="18"/>
        <v>47376134.536107764</v>
      </c>
      <c r="E99" s="16">
        <f t="shared" si="19"/>
        <v>129099261.28828248</v>
      </c>
      <c r="F99" s="16">
        <f t="shared" si="20"/>
        <v>0</v>
      </c>
      <c r="H99" s="16"/>
    </row>
    <row r="100" spans="1:8">
      <c r="A100" t="s">
        <v>55</v>
      </c>
      <c r="B100" t="s">
        <v>54</v>
      </c>
      <c r="C100" s="17">
        <v>4.6224033967512543</v>
      </c>
      <c r="D100" s="16">
        <f t="shared" si="18"/>
        <v>19490.576948380796</v>
      </c>
      <c r="E100" s="16">
        <f t="shared" si="19"/>
        <v>53111.532014091383</v>
      </c>
      <c r="F100" s="16">
        <f t="shared" si="20"/>
        <v>0</v>
      </c>
    </row>
    <row r="101" spans="1:8">
      <c r="A101" t="s">
        <v>56</v>
      </c>
      <c r="B101" t="s">
        <v>54</v>
      </c>
      <c r="C101" s="17">
        <v>45.523729540843149</v>
      </c>
      <c r="D101" s="16">
        <f t="shared" si="18"/>
        <v>191952.90359484538</v>
      </c>
      <c r="E101" s="16">
        <f t="shared" si="19"/>
        <v>523068.80455493042</v>
      </c>
      <c r="F101" s="16">
        <f t="shared" si="20"/>
        <v>0</v>
      </c>
    </row>
    <row r="102" spans="1:8">
      <c r="A102" t="s">
        <v>57</v>
      </c>
      <c r="B102" t="s">
        <v>54</v>
      </c>
      <c r="C102" s="17">
        <v>452.86515832503886</v>
      </c>
      <c r="D102" s="16">
        <f t="shared" si="18"/>
        <v>1909526.8106150988</v>
      </c>
      <c r="E102" s="16">
        <f t="shared" si="19"/>
        <v>5203432.1304262392</v>
      </c>
      <c r="F102" s="16">
        <f t="shared" si="20"/>
        <v>0</v>
      </c>
    </row>
    <row r="103" spans="1:8">
      <c r="A103" t="s">
        <v>58</v>
      </c>
      <c r="B103" t="s">
        <v>54</v>
      </c>
      <c r="C103" s="17">
        <v>995.83424196870999</v>
      </c>
      <c r="D103" s="16">
        <f t="shared" si="18"/>
        <v>4198980.9748247033</v>
      </c>
      <c r="E103" s="16">
        <f t="shared" si="19"/>
        <v>11442160.643145561</v>
      </c>
      <c r="F103" s="16">
        <f t="shared" si="20"/>
        <v>0</v>
      </c>
    </row>
    <row r="104" spans="1:8">
      <c r="A104" t="s">
        <v>59</v>
      </c>
      <c r="B104" t="s">
        <v>54</v>
      </c>
      <c r="C104" s="17">
        <v>349.48342086409355</v>
      </c>
      <c r="D104" s="16">
        <f t="shared" si="18"/>
        <v>1605470.7604852847</v>
      </c>
      <c r="E104" s="16">
        <f t="shared" si="19"/>
        <v>4544442.4328247029</v>
      </c>
      <c r="F104" s="16">
        <f t="shared" si="20"/>
        <v>0</v>
      </c>
    </row>
  </sheetData>
  <mergeCells count="7">
    <mergeCell ref="Q8:R8"/>
    <mergeCell ref="D8:E8"/>
    <mergeCell ref="F8:H8"/>
    <mergeCell ref="I8:J8"/>
    <mergeCell ref="K8:L8"/>
    <mergeCell ref="M8:N8"/>
    <mergeCell ref="O8:P8"/>
  </mergeCells>
  <printOptions gridLines="1"/>
  <pageMargins left="0.5" right="0.5" top="0.5" bottom="0.5" header="0.5" footer="0.5"/>
  <pageSetup scale="3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3516A-FEAB-49EF-8055-F7E0CB877A13}">
  <dimension ref="A1:F44"/>
  <sheetViews>
    <sheetView tabSelected="1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H5" sqref="H5"/>
    </sheetView>
  </sheetViews>
  <sheetFormatPr defaultRowHeight="12.75"/>
  <cols>
    <col min="1" max="1" width="33.7109375" style="44" bestFit="1" customWidth="1"/>
    <col min="2" max="2" width="11.7109375" style="57" customWidth="1"/>
    <col min="3" max="3" width="49.7109375" style="55" customWidth="1"/>
    <col min="4" max="5" width="8.85546875" style="59"/>
    <col min="6" max="6" width="8.85546875" style="88"/>
  </cols>
  <sheetData>
    <row r="1" spans="1:6" ht="13.5" thickBot="1">
      <c r="D1" s="80" t="s">
        <v>261</v>
      </c>
      <c r="E1" s="81"/>
      <c r="F1" s="82"/>
    </row>
    <row r="2" spans="1:6" s="1" customFormat="1" ht="26.25" thickBot="1">
      <c r="B2" s="58" t="s">
        <v>165</v>
      </c>
      <c r="C2" s="56" t="s">
        <v>166</v>
      </c>
      <c r="D2" s="75" t="s">
        <v>256</v>
      </c>
      <c r="E2" s="75" t="s">
        <v>257</v>
      </c>
      <c r="F2" s="83" t="s">
        <v>97</v>
      </c>
    </row>
    <row r="3" spans="1:6" ht="25.5">
      <c r="A3" s="63" t="s">
        <v>17</v>
      </c>
      <c r="B3" s="64" t="s">
        <v>167</v>
      </c>
      <c r="C3" s="65" t="s">
        <v>168</v>
      </c>
      <c r="D3" s="76">
        <v>0.27100000000000002</v>
      </c>
      <c r="E3" s="76">
        <v>0.35699999999999998</v>
      </c>
      <c r="F3" s="84">
        <f>'Rate Summary'!B16</f>
        <v>0.27800000000000002</v>
      </c>
    </row>
    <row r="4" spans="1:6" ht="25.5">
      <c r="A4" s="66"/>
      <c r="B4" s="62" t="s">
        <v>169</v>
      </c>
      <c r="C4" s="55" t="s">
        <v>170</v>
      </c>
      <c r="D4" s="77">
        <v>0.27100000000000002</v>
      </c>
      <c r="E4" s="77">
        <v>0.35699999999999998</v>
      </c>
      <c r="F4" s="85">
        <f>F3</f>
        <v>0.27800000000000002</v>
      </c>
    </row>
    <row r="5" spans="1:6" ht="25.5">
      <c r="A5" s="66"/>
      <c r="B5" s="62" t="s">
        <v>171</v>
      </c>
      <c r="C5" s="55" t="s">
        <v>172</v>
      </c>
      <c r="D5" s="77">
        <v>0.27100000000000002</v>
      </c>
      <c r="E5" s="77">
        <v>0.35699999999999998</v>
      </c>
      <c r="F5" s="85">
        <f>F3</f>
        <v>0.27800000000000002</v>
      </c>
    </row>
    <row r="6" spans="1:6" ht="25.5">
      <c r="A6" s="66"/>
      <c r="B6" s="62" t="s">
        <v>173</v>
      </c>
      <c r="C6" s="55" t="s">
        <v>174</v>
      </c>
      <c r="D6" s="77">
        <v>0.27100000000000002</v>
      </c>
      <c r="E6" s="77">
        <v>0.35699999999999998</v>
      </c>
      <c r="F6" s="85">
        <f>F3</f>
        <v>0.27800000000000002</v>
      </c>
    </row>
    <row r="7" spans="1:6" ht="25.5">
      <c r="A7" s="66"/>
      <c r="B7" s="62" t="s">
        <v>175</v>
      </c>
      <c r="C7" s="55" t="s">
        <v>176</v>
      </c>
      <c r="D7" s="77">
        <v>0.27100000000000002</v>
      </c>
      <c r="E7" s="77">
        <v>0.35699999999999998</v>
      </c>
      <c r="F7" s="85">
        <f>F3</f>
        <v>0.27800000000000002</v>
      </c>
    </row>
    <row r="8" spans="1:6" ht="25.5">
      <c r="A8" s="66"/>
      <c r="B8" s="62" t="s">
        <v>177</v>
      </c>
      <c r="C8" s="55" t="s">
        <v>178</v>
      </c>
      <c r="D8" s="77">
        <v>0.27100000000000002</v>
      </c>
      <c r="E8" s="77">
        <v>0.35699999999999998</v>
      </c>
      <c r="F8" s="85">
        <f>F3</f>
        <v>0.27800000000000002</v>
      </c>
    </row>
    <row r="9" spans="1:6" ht="25.5">
      <c r="A9" s="66"/>
      <c r="B9" s="62" t="s">
        <v>179</v>
      </c>
      <c r="C9" s="55" t="s">
        <v>180</v>
      </c>
      <c r="D9" s="77">
        <v>0.27100000000000002</v>
      </c>
      <c r="E9" s="77">
        <v>0.35699999999999998</v>
      </c>
      <c r="F9" s="85">
        <f>F3</f>
        <v>0.27800000000000002</v>
      </c>
    </row>
    <row r="10" spans="1:6" ht="26.25" thickBot="1">
      <c r="A10" s="67"/>
      <c r="B10" s="68" t="s">
        <v>181</v>
      </c>
      <c r="C10" s="69" t="s">
        <v>182</v>
      </c>
      <c r="D10" s="78">
        <v>0.27100000000000002</v>
      </c>
      <c r="E10" s="78">
        <v>0.35699999999999998</v>
      </c>
      <c r="F10" s="86">
        <f>F3</f>
        <v>0.27800000000000002</v>
      </c>
    </row>
    <row r="11" spans="1:6" ht="26.25">
      <c r="A11" s="70" t="s">
        <v>95</v>
      </c>
      <c r="B11" s="64" t="s">
        <v>183</v>
      </c>
      <c r="C11" s="65" t="s">
        <v>184</v>
      </c>
      <c r="D11" s="76">
        <v>0.35399999999999998</v>
      </c>
      <c r="E11" s="76">
        <v>0.34300000000000003</v>
      </c>
      <c r="F11" s="84">
        <f>'Rate Summary'!B17</f>
        <v>0.38</v>
      </c>
    </row>
    <row r="12" spans="1:6" ht="25.5">
      <c r="A12" s="66"/>
      <c r="B12" s="62" t="s">
        <v>185</v>
      </c>
      <c r="C12" s="55" t="s">
        <v>186</v>
      </c>
      <c r="D12" s="77">
        <v>0.35399999999999998</v>
      </c>
      <c r="E12" s="77">
        <v>0.34300000000000003</v>
      </c>
      <c r="F12" s="85">
        <f>F11</f>
        <v>0.38</v>
      </c>
    </row>
    <row r="13" spans="1:6">
      <c r="A13" s="66"/>
      <c r="B13" s="62" t="s">
        <v>187</v>
      </c>
      <c r="C13" s="55" t="s">
        <v>188</v>
      </c>
      <c r="D13" s="77">
        <v>0.35399999999999998</v>
      </c>
      <c r="E13" s="77">
        <v>0.34300000000000003</v>
      </c>
      <c r="F13" s="85">
        <f>F11</f>
        <v>0.38</v>
      </c>
    </row>
    <row r="14" spans="1:6">
      <c r="A14" s="66"/>
      <c r="B14" s="62" t="s">
        <v>189</v>
      </c>
      <c r="C14" s="55" t="s">
        <v>190</v>
      </c>
      <c r="D14" s="77">
        <v>0.35399999999999998</v>
      </c>
      <c r="E14" s="77">
        <v>0.34300000000000003</v>
      </c>
      <c r="F14" s="85">
        <f>F11</f>
        <v>0.38</v>
      </c>
    </row>
    <row r="15" spans="1:6" ht="26.25" thickBot="1">
      <c r="A15" s="67"/>
      <c r="B15" s="68" t="s">
        <v>191</v>
      </c>
      <c r="C15" s="69" t="s">
        <v>192</v>
      </c>
      <c r="D15" s="78">
        <v>0.35399999999999998</v>
      </c>
      <c r="E15" s="78">
        <v>0.34300000000000003</v>
      </c>
      <c r="F15" s="86">
        <f>F11</f>
        <v>0.38</v>
      </c>
    </row>
    <row r="16" spans="1:6" ht="26.25">
      <c r="A16" s="70" t="s">
        <v>22</v>
      </c>
      <c r="B16" s="64" t="s">
        <v>193</v>
      </c>
      <c r="C16" s="65" t="s">
        <v>194</v>
      </c>
      <c r="D16" s="76">
        <v>0.159</v>
      </c>
      <c r="E16" s="76">
        <v>0.161</v>
      </c>
      <c r="F16" s="84">
        <v>0.156</v>
      </c>
    </row>
    <row r="17" spans="1:6" ht="25.5">
      <c r="A17" s="66"/>
      <c r="B17" s="62" t="s">
        <v>195</v>
      </c>
      <c r="C17" s="55" t="s">
        <v>196</v>
      </c>
      <c r="D17" s="77">
        <v>0.159</v>
      </c>
      <c r="E17" s="77">
        <v>0.161</v>
      </c>
      <c r="F17" s="85">
        <v>0.156</v>
      </c>
    </row>
    <row r="18" spans="1:6" ht="25.5">
      <c r="A18" s="66"/>
      <c r="B18" s="62" t="s">
        <v>197</v>
      </c>
      <c r="C18" s="55" t="s">
        <v>198</v>
      </c>
      <c r="D18" s="77">
        <v>0.159</v>
      </c>
      <c r="E18" s="77">
        <v>0.161</v>
      </c>
      <c r="F18" s="85">
        <v>0.156</v>
      </c>
    </row>
    <row r="19" spans="1:6" ht="25.5">
      <c r="A19" s="66"/>
      <c r="B19" s="62" t="s">
        <v>199</v>
      </c>
      <c r="C19" s="55" t="s">
        <v>200</v>
      </c>
      <c r="D19" s="77">
        <v>0.159</v>
      </c>
      <c r="E19" s="77">
        <v>0.161</v>
      </c>
      <c r="F19" s="85">
        <v>0.156</v>
      </c>
    </row>
    <row r="20" spans="1:6" ht="25.5">
      <c r="A20" s="66"/>
      <c r="B20" s="62" t="s">
        <v>201</v>
      </c>
      <c r="C20" s="55" t="s">
        <v>202</v>
      </c>
      <c r="D20" s="77">
        <v>0.159</v>
      </c>
      <c r="E20" s="77">
        <v>0.161</v>
      </c>
      <c r="F20" s="85">
        <v>0.156</v>
      </c>
    </row>
    <row r="21" spans="1:6" ht="25.5">
      <c r="A21" s="66"/>
      <c r="B21" s="62" t="s">
        <v>203</v>
      </c>
      <c r="C21" s="55" t="s">
        <v>204</v>
      </c>
      <c r="D21" s="77">
        <v>0.159</v>
      </c>
      <c r="E21" s="77">
        <v>0.161</v>
      </c>
      <c r="F21" s="85">
        <v>0.156</v>
      </c>
    </row>
    <row r="22" spans="1:6">
      <c r="A22" s="66"/>
      <c r="B22" s="62" t="s">
        <v>205</v>
      </c>
      <c r="C22" s="55" t="s">
        <v>206</v>
      </c>
      <c r="D22" s="77">
        <v>0.159</v>
      </c>
      <c r="E22" s="77">
        <v>0.161</v>
      </c>
      <c r="F22" s="85">
        <v>0.156</v>
      </c>
    </row>
    <row r="23" spans="1:6">
      <c r="A23" s="66"/>
      <c r="B23" s="62" t="s">
        <v>207</v>
      </c>
      <c r="C23" s="55" t="s">
        <v>208</v>
      </c>
      <c r="D23" s="77">
        <v>0.159</v>
      </c>
      <c r="E23" s="77">
        <v>0.161</v>
      </c>
      <c r="F23" s="85">
        <v>0.156</v>
      </c>
    </row>
    <row r="24" spans="1:6" ht="25.5">
      <c r="A24" s="66"/>
      <c r="B24" s="62" t="s">
        <v>209</v>
      </c>
      <c r="C24" s="55" t="s">
        <v>210</v>
      </c>
      <c r="D24" s="77">
        <v>0.159</v>
      </c>
      <c r="E24" s="77">
        <v>0.161</v>
      </c>
      <c r="F24" s="85">
        <v>0.156</v>
      </c>
    </row>
    <row r="25" spans="1:6">
      <c r="A25" s="66"/>
      <c r="B25" s="62" t="s">
        <v>211</v>
      </c>
      <c r="C25" s="55" t="s">
        <v>212</v>
      </c>
      <c r="D25" s="77">
        <v>0.159</v>
      </c>
      <c r="E25" s="77">
        <v>0.161</v>
      </c>
      <c r="F25" s="85">
        <v>0.156</v>
      </c>
    </row>
    <row r="26" spans="1:6" ht="13.5" thickBot="1">
      <c r="A26" s="67"/>
      <c r="B26" s="68" t="s">
        <v>213</v>
      </c>
      <c r="C26" s="69" t="s">
        <v>214</v>
      </c>
      <c r="D26" s="78">
        <v>0.159</v>
      </c>
      <c r="E26" s="78">
        <v>0.161</v>
      </c>
      <c r="F26" s="86">
        <v>0.156</v>
      </c>
    </row>
    <row r="27" spans="1:6" ht="15">
      <c r="A27" s="70" t="s">
        <v>24</v>
      </c>
      <c r="B27" s="64" t="s">
        <v>215</v>
      </c>
      <c r="C27" s="65" t="s">
        <v>216</v>
      </c>
      <c r="D27" s="76">
        <v>4.0000000000000001E-3</v>
      </c>
      <c r="E27" s="76">
        <v>6.0000000000000001E-3</v>
      </c>
      <c r="F27" s="84">
        <v>0.112</v>
      </c>
    </row>
    <row r="28" spans="1:6" ht="25.5">
      <c r="A28" s="66"/>
      <c r="B28" s="62" t="s">
        <v>217</v>
      </c>
      <c r="C28" s="55" t="s">
        <v>218</v>
      </c>
      <c r="D28" s="77">
        <v>4.0000000000000001E-3</v>
      </c>
      <c r="E28" s="77">
        <v>6.0000000000000001E-3</v>
      </c>
      <c r="F28" s="85">
        <v>0.112</v>
      </c>
    </row>
    <row r="29" spans="1:6">
      <c r="A29" s="66"/>
      <c r="B29" s="62" t="s">
        <v>219</v>
      </c>
      <c r="C29" s="55" t="s">
        <v>220</v>
      </c>
      <c r="D29" s="77">
        <v>4.0000000000000001E-3</v>
      </c>
      <c r="E29" s="77">
        <v>6.0000000000000001E-3</v>
      </c>
      <c r="F29" s="85">
        <v>0.112</v>
      </c>
    </row>
    <row r="30" spans="1:6">
      <c r="A30" s="66"/>
      <c r="B30" s="62" t="s">
        <v>221</v>
      </c>
      <c r="C30" s="55" t="s">
        <v>222</v>
      </c>
      <c r="D30" s="77">
        <v>4.0000000000000001E-3</v>
      </c>
      <c r="E30" s="77">
        <v>6.0000000000000001E-3</v>
      </c>
      <c r="F30" s="85">
        <v>0.112</v>
      </c>
    </row>
    <row r="31" spans="1:6">
      <c r="A31" s="66"/>
      <c r="B31" s="62" t="s">
        <v>223</v>
      </c>
      <c r="C31" s="55" t="s">
        <v>224</v>
      </c>
      <c r="D31" s="77">
        <v>4.0000000000000001E-3</v>
      </c>
      <c r="E31" s="77">
        <v>6.0000000000000001E-3</v>
      </c>
      <c r="F31" s="85">
        <v>0.112</v>
      </c>
    </row>
    <row r="32" spans="1:6" ht="26.25" thickBot="1">
      <c r="A32" s="67"/>
      <c r="B32" s="68" t="s">
        <v>225</v>
      </c>
      <c r="C32" s="69" t="s">
        <v>226</v>
      </c>
      <c r="D32" s="78">
        <v>4.0000000000000001E-3</v>
      </c>
      <c r="E32" s="78">
        <v>6.0000000000000001E-3</v>
      </c>
      <c r="F32" s="86">
        <v>0.112</v>
      </c>
    </row>
    <row r="33" spans="1:6">
      <c r="A33" s="63" t="s">
        <v>28</v>
      </c>
      <c r="B33" s="64" t="s">
        <v>227</v>
      </c>
      <c r="C33" s="65" t="s">
        <v>228</v>
      </c>
      <c r="D33" s="76">
        <v>0.115</v>
      </c>
      <c r="E33" s="76">
        <v>0.11799999999999999</v>
      </c>
      <c r="F33" s="84">
        <v>0.112</v>
      </c>
    </row>
    <row r="34" spans="1:6">
      <c r="A34" s="66"/>
      <c r="B34" s="62" t="s">
        <v>229</v>
      </c>
      <c r="C34" s="55" t="s">
        <v>230</v>
      </c>
      <c r="D34" s="77">
        <v>0.115</v>
      </c>
      <c r="E34" s="77">
        <v>0.11799999999999999</v>
      </c>
      <c r="F34" s="85">
        <v>0.112</v>
      </c>
    </row>
    <row r="35" spans="1:6">
      <c r="A35" s="66"/>
      <c r="B35" s="62" t="s">
        <v>231</v>
      </c>
      <c r="C35" s="55" t="s">
        <v>232</v>
      </c>
      <c r="D35" s="77">
        <v>0.115</v>
      </c>
      <c r="E35" s="77">
        <v>0.11799999999999999</v>
      </c>
      <c r="F35" s="85">
        <v>0.112</v>
      </c>
    </row>
    <row r="36" spans="1:6" ht="13.5" thickBot="1">
      <c r="A36" s="67"/>
      <c r="B36" s="68" t="s">
        <v>233</v>
      </c>
      <c r="C36" s="69" t="s">
        <v>234</v>
      </c>
      <c r="D36" s="78">
        <v>0.115</v>
      </c>
      <c r="E36" s="78">
        <v>0.11799999999999999</v>
      </c>
      <c r="F36" s="86">
        <v>0.112</v>
      </c>
    </row>
    <row r="37" spans="1:6" ht="25.5">
      <c r="A37" s="63" t="s">
        <v>235</v>
      </c>
      <c r="B37" s="64" t="s">
        <v>236</v>
      </c>
      <c r="C37" s="65" t="s">
        <v>237</v>
      </c>
      <c r="D37" s="76">
        <v>0.18</v>
      </c>
      <c r="E37" s="76">
        <v>0.18</v>
      </c>
      <c r="F37" s="84">
        <v>0.156</v>
      </c>
    </row>
    <row r="38" spans="1:6" ht="26.25" thickBot="1">
      <c r="A38" s="67"/>
      <c r="B38" s="68" t="s">
        <v>238</v>
      </c>
      <c r="C38" s="69" t="s">
        <v>239</v>
      </c>
      <c r="D38" s="78">
        <v>0.18</v>
      </c>
      <c r="E38" s="78">
        <v>0.18</v>
      </c>
      <c r="F38" s="86">
        <v>0.156</v>
      </c>
    </row>
    <row r="39" spans="1:6">
      <c r="A39" s="63" t="s">
        <v>240</v>
      </c>
      <c r="B39" s="64" t="s">
        <v>241</v>
      </c>
      <c r="C39" s="65" t="s">
        <v>242</v>
      </c>
      <c r="D39" s="76">
        <v>0.184</v>
      </c>
      <c r="E39" s="76">
        <v>0.184</v>
      </c>
      <c r="F39" s="84">
        <v>0.156</v>
      </c>
    </row>
    <row r="40" spans="1:6">
      <c r="A40" s="66"/>
      <c r="B40" s="62" t="s">
        <v>243</v>
      </c>
      <c r="C40" s="55" t="s">
        <v>244</v>
      </c>
      <c r="D40" s="77">
        <v>0.184</v>
      </c>
      <c r="E40" s="77">
        <v>0.184</v>
      </c>
      <c r="F40" s="85">
        <v>0.156</v>
      </c>
    </row>
    <row r="41" spans="1:6" ht="26.25" thickBot="1">
      <c r="A41" s="67"/>
      <c r="B41" s="68" t="s">
        <v>245</v>
      </c>
      <c r="C41" s="69" t="s">
        <v>246</v>
      </c>
      <c r="D41" s="78">
        <v>0.184</v>
      </c>
      <c r="E41" s="78">
        <v>0.184</v>
      </c>
      <c r="F41" s="86">
        <v>0.156</v>
      </c>
    </row>
    <row r="42" spans="1:6" ht="15.75" thickBot="1">
      <c r="A42" s="71" t="s">
        <v>247</v>
      </c>
      <c r="B42" s="72" t="s">
        <v>248</v>
      </c>
      <c r="C42" s="73" t="s">
        <v>249</v>
      </c>
      <c r="D42" s="79">
        <v>0.14399999999999999</v>
      </c>
      <c r="E42" s="79">
        <v>0.14399999999999999</v>
      </c>
      <c r="F42" s="87">
        <v>0.156</v>
      </c>
    </row>
    <row r="43" spans="1:6" ht="13.5" thickBot="1">
      <c r="A43" s="74" t="s">
        <v>250</v>
      </c>
      <c r="B43" s="72" t="s">
        <v>251</v>
      </c>
      <c r="C43" s="73" t="s">
        <v>252</v>
      </c>
      <c r="D43" s="79">
        <v>0.19400000000000001</v>
      </c>
      <c r="E43" s="79">
        <v>0.19400000000000001</v>
      </c>
      <c r="F43" s="87">
        <v>0.156</v>
      </c>
    </row>
    <row r="44" spans="1:6" ht="13.5" thickBot="1">
      <c r="A44" s="74" t="s">
        <v>253</v>
      </c>
      <c r="B44" s="72" t="s">
        <v>254</v>
      </c>
      <c r="C44" s="73" t="s">
        <v>255</v>
      </c>
      <c r="D44" s="79">
        <v>0.23799999999999999</v>
      </c>
      <c r="E44" s="79">
        <v>0.23799999999999999</v>
      </c>
      <c r="F44" s="87">
        <v>0.156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7014075D1DA244930E5B7E5AF8C775" ma:contentTypeVersion="12" ma:contentTypeDescription="Create a new document." ma:contentTypeScope="" ma:versionID="c9e06435305ede9cb612dbbd9f7e26fc">
  <xsd:schema xmlns:xsd="http://www.w3.org/2001/XMLSchema" xmlns:xs="http://www.w3.org/2001/XMLSchema" xmlns:p="http://schemas.microsoft.com/office/2006/metadata/properties" xmlns:ns2="f4e69349-468d-450d-a17f-15f564edf12b" xmlns:ns3="14a0509d-f569-4dc7-9874-623a44436425" targetNamespace="http://schemas.microsoft.com/office/2006/metadata/properties" ma:root="true" ma:fieldsID="51d46dfbaad7c09ff4a823f40bab1734" ns2:_="" ns3:_="">
    <xsd:import namespace="f4e69349-468d-450d-a17f-15f564edf12b"/>
    <xsd:import namespace="14a0509d-f569-4dc7-9874-623a444364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69349-468d-450d-a17f-15f564edf1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a0509d-f569-4dc7-9874-623a444364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4a0509d-f569-4dc7-9874-623a44436425">
      <UserInfo>
        <DisplayName/>
        <AccountId xsi:nil="true"/>
        <AccountType/>
      </UserInfo>
    </SharedWithUsers>
    <MediaLengthInSeconds xmlns="f4e69349-468d-450d-a17f-15f564edf12b" xsi:nil="true"/>
  </documentManagement>
</p:properties>
</file>

<file path=customXml/itemProps1.xml><?xml version="1.0" encoding="utf-8"?>
<ds:datastoreItem xmlns:ds="http://schemas.openxmlformats.org/officeDocument/2006/customXml" ds:itemID="{DF440C95-F31C-4B22-8E3E-39BB105F2F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D23DE7-2E2B-4684-92E6-2244049486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69349-468d-450d-a17f-15f564edf12b"/>
    <ds:schemaRef ds:uri="14a0509d-f569-4dc7-9874-623a444364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0780EE-DACE-401C-8B8F-6CEF55369789}">
  <ds:schemaRefs>
    <ds:schemaRef ds:uri="http://schemas.microsoft.com/office/2006/metadata/properties"/>
    <ds:schemaRef ds:uri="http://schemas.microsoft.com/office/infopath/2007/PartnerControls"/>
    <ds:schemaRef ds:uri="14a0509d-f569-4dc7-9874-623a44436425"/>
    <ds:schemaRef ds:uri="f4e69349-468d-450d-a17f-15f564edf1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Rate Summary</vt:lpstr>
      <vt:lpstr>Components UNIV HS &amp; FGP</vt:lpstr>
      <vt:lpstr>Distribution Univ HS &amp; FGP</vt:lpstr>
      <vt:lpstr>Components OSP</vt:lpstr>
      <vt:lpstr>Distribution OSP</vt:lpstr>
      <vt:lpstr>fy23_summary_bnft_projection</vt:lpstr>
      <vt:lpstr>Rate by Spend 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Gast, Kenneth C.</dc:creator>
  <cp:lastModifiedBy>Brown, Karina</cp:lastModifiedBy>
  <dcterms:created xsi:type="dcterms:W3CDTF">2021-06-15T18:43:33Z</dcterms:created>
  <dcterms:modified xsi:type="dcterms:W3CDTF">2023-06-28T15:40:53Z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413000</vt:r8>
  </property>
  <property fmtid="{D5CDD505-2E9C-101B-9397-08002B2CF9AE}" pid="3" name="ContentTypeId">
    <vt:lpwstr>0x010100127014075D1DA244930E5B7E5AF8C775</vt:lpwstr>
  </property>
  <property fmtid="{D5CDD505-2E9C-101B-9397-08002B2CF9AE}" pid="4" name="ComplianceAssetId">
    <vt:lpwstr/>
  </property>
  <property fmtid="{D5CDD505-2E9C-101B-9397-08002B2CF9AE}" pid="5" name="_ExtendedDescription">
    <vt:lpwstr/>
  </property>
</Properties>
</file>