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F\BF-Admin\Communications\B&amp;F\B&amp;F websites\FP&amp;A\"/>
    </mc:Choice>
  </mc:AlternateContent>
  <xr:revisionPtr revIDLastSave="0" documentId="8_{95CFD45A-4B7C-4F05-A6B4-F65F91B08AEC}" xr6:coauthVersionLast="47" xr6:coauthVersionMax="47" xr10:uidLastSave="{00000000-0000-0000-0000-000000000000}"/>
  <bookViews>
    <workbookView xWindow="-120" yWindow="-120" windowWidth="29040" windowHeight="15720" tabRatio="975" xr2:uid="{214401C3-DC75-4D25-935E-5D01DC7BBBEF}"/>
  </bookViews>
  <sheets>
    <sheet name="Rate Summary" sheetId="2" r:id="rId1"/>
    <sheet name="Components UNIV HS &amp; FGP" sheetId="3" r:id="rId2"/>
    <sheet name="Distribution Univ HS &amp; FGP" sheetId="6" r:id="rId3"/>
    <sheet name="Components OSP" sheetId="4" r:id="rId4"/>
    <sheet name="Distribution OSP" sheetId="5" r:id="rId5"/>
    <sheet name="fy26_summary_bnft_projection" sheetId="11" r:id="rId6"/>
    <sheet name="Rate by Spend Cat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"#REF!"</definedName>
    <definedName name="\B">"#REF!"</definedName>
    <definedName name="\C">"#REF!"</definedName>
    <definedName name="\D">#REF!</definedName>
    <definedName name="\E">"#REF!"</definedName>
    <definedName name="\P">#REF!</definedName>
    <definedName name="\S">#REF!</definedName>
    <definedName name="___xlnm.Print_Titles_2" localSheetId="5">([1]SCFGrid!$A:$C,[1]SCFGrid!$1:$11)</definedName>
    <definedName name="___xlnm.Print_Titles_2">(#REF!,#REF!)</definedName>
    <definedName name="___xlnm.Print_Titles_5">#N/A</definedName>
    <definedName name="__inc11">#REF!</definedName>
    <definedName name="__xlnm.Print_Titles_2" localSheetId="5">([1]SCFGrid!$A$1:$C$65536,[1]SCFGrid!$A$1:$IV$11)</definedName>
    <definedName name="__xlnm.Print_Titles_2">(#REF!,#REF!)</definedName>
    <definedName name="__xlnm.Print_Titles_5">#N/A</definedName>
    <definedName name="_END1">#REF!</definedName>
    <definedName name="_xlnm._FilterDatabase" localSheetId="4" hidden="1">'Distribution OSP'!$A$5:$K$23</definedName>
    <definedName name="_xlnm._FilterDatabase" localSheetId="2" hidden="1">'Distribution Univ HS &amp; FGP'!$A$4:$U$25</definedName>
    <definedName name="_inc11">#REF!</definedName>
    <definedName name="_Order1" hidden="1">255</definedName>
    <definedName name="_Sort" hidden="1">#REF!</definedName>
    <definedName name="A">#REF!</definedName>
    <definedName name="AS2DocOpenMode" hidden="1">"AS2DocumentEdit"</definedName>
    <definedName name="AS2HasNoAutoHeaderFooter">"OFF"</definedName>
    <definedName name="cy_share_equity">#REF!</definedName>
    <definedName name="data" localSheetId="5" hidden="1">'[2]10089'!#REF!</definedName>
    <definedName name="data" hidden="1">#REF!</definedName>
    <definedName name="DATA_03" localSheetId="5" hidden="1">'[2]10089'!#REF!</definedName>
    <definedName name="DATA_03" hidden="1">#REF!</definedName>
    <definedName name="DATA_04" localSheetId="5" hidden="1">'[2]10089'!#REF!</definedName>
    <definedName name="DATA_04" hidden="1">#REF!</definedName>
    <definedName name="DATA_05" localSheetId="5" hidden="1">'[2]10089'!#REF!</definedName>
    <definedName name="DATA_05" hidden="1">#REF!</definedName>
    <definedName name="DATA_06" localSheetId="5" hidden="1">'[2]10089'!#REF!</definedName>
    <definedName name="DATA_06" hidden="1">#REF!</definedName>
    <definedName name="DATA_07" localSheetId="5" hidden="1">'[2]10089'!#REF!</definedName>
    <definedName name="DATA_07" hidden="1">#REF!</definedName>
    <definedName name="DATA_08" localSheetId="5" hidden="1">'[2]10089'!#REF!</definedName>
    <definedName name="DATA_08" hidden="1">#REF!</definedName>
    <definedName name="END" localSheetId="5">'[3]InvestmentDetail byFund'!#REF!</definedName>
    <definedName name="END">#REF!</definedName>
    <definedName name="End_Bal" localSheetId="5">'[4]Loan Amortization Schedule'!$I$18:$I$497</definedName>
    <definedName name="End_Bal">#REF!</definedName>
    <definedName name="endow" localSheetId="5">'[3]InvestmentDetail byFund'!#REF!</definedName>
    <definedName name="endow">#REF!</definedName>
    <definedName name="Header_Row" localSheetId="5">ROW('[4]Loan Amortization Schedule'!$17:$17)</definedName>
    <definedName name="Header_Row">ROW(#REF!)</definedName>
    <definedName name="Interest_Rate" localSheetId="5">'[4]Loan Amortization Schedule'!$E$6</definedName>
    <definedName name="Interest_Rate">#REF!</definedName>
    <definedName name="IntroPrintArea" hidden="1">#REF!</definedName>
    <definedName name="Last_Row" localSheetId="5">IF(fy26_summary_bnft_projection!Values_Entered,fy26_summary_bnft_projection!Header_Row+fy26_summary_bnft_projection!Number_of_Payments,fy26_summary_bnft_projection!Header_Row)</definedName>
    <definedName name="Last_Row">IF(Values_Entered,Header_Row+Number_of_Payments,Header_Row)</definedName>
    <definedName name="LIST">#REF!</definedName>
    <definedName name="Loan_Amount" localSheetId="5">'[4]Loan Amortization Schedule'!$E$5</definedName>
    <definedName name="Loan_Amount">#REF!</definedName>
    <definedName name="Loan_Start" localSheetId="5">'[4]Loan Amortization Schedule'!$E$9</definedName>
    <definedName name="Loan_Start">#REF!</definedName>
    <definedName name="Loan_Years" localSheetId="5">'[4]Loan Amortization Schedule'!$E$7</definedName>
    <definedName name="Loan_Years">#REF!</definedName>
    <definedName name="Number_of_Payments" localSheetId="5">MATCH(0.01,fy26_summary_bnft_projection!End_Bal,-1)+1</definedName>
    <definedName name="Number_of_Payments">MATCH(0.01,End_Bal,-1)+1</definedName>
    <definedName name="paidint">#REF!</definedName>
    <definedName name="py_retained_earnings" localSheetId="5">'[5]Income Statement'!$D$55</definedName>
    <definedName name="py_retained_earnings">#REF!</definedName>
    <definedName name="py_share_equity">#REF!</definedName>
    <definedName name="report">#REF!</definedName>
    <definedName name="reportwithsignatures">#REF!</definedName>
    <definedName name="TextRefCopyRangeCount" hidden="1">2</definedName>
    <definedName name="total" localSheetId="5">'[3]InvestmentDetail byFund'!#REF!</definedName>
    <definedName name="total">#REF!</definedName>
    <definedName name="total_inv" localSheetId="5">'[3]InvestmentDetail byFund'!#REF!</definedName>
    <definedName name="total_inv">#REF!</definedName>
    <definedName name="Values_Entered" localSheetId="5">IF(fy26_summary_bnft_projection!Loan_Amount*fy26_summary_bnft_projection!Interest_Rate*fy26_summary_bnft_projection!Loan_Years*fy26_summary_bnft_projection!Loan_Start&gt;0,1,0)</definedName>
    <definedName name="Values_Entered">IF(Loan_Amount*Interest_Rate*Loan_Years*Loan_Start&gt;0,1,0)</definedName>
    <definedName name="XREF_COLUMN_1" localSheetId="5" hidden="1">'[5]Income Statement'!#REF!</definedName>
    <definedName name="XREF_COLUMN_1" hidden="1">#REF!</definedName>
    <definedName name="XREF_COLUMN_2" localSheetId="5" hidden="1">'[5]Income Statement'!#REF!</definedName>
    <definedName name="XREF_COLUMN_2" hidden="1">#REF!</definedName>
    <definedName name="XREF_COLUMN_3" localSheetId="5" hidden="1">'[5]Income Statement'!#REF!</definedName>
    <definedName name="XREF_COLUMN_3" hidden="1">#REF!</definedName>
    <definedName name="XREF_COLUMN_4" localSheetId="5" hidden="1">'[5]Balance Sheet'!#REF!</definedName>
    <definedName name="XREF_COLUMN_4" hidden="1">#REF!</definedName>
    <definedName name="XREF_COLUMN_6" localSheetId="5" hidden="1">'[6]2012 Cash Flow Worksheet'!#REF!</definedName>
    <definedName name="XREF_COLUMN_6" hidden="1">#REF!</definedName>
    <definedName name="XREF_COLUMN_7" localSheetId="5" hidden="1">'[6]2012 Cash Flow Worksheet'!#REF!</definedName>
    <definedName name="XREF_COLUMN_7" hidden="1">#REF!</definedName>
    <definedName name="XREF_COLUMN_9" hidden="1">#REF!</definedName>
    <definedName name="XRefActiveRow" hidden="1">#REF!</definedName>
    <definedName name="XRefColumnsCount" hidden="1">9</definedName>
    <definedName name="XRefCopy1" localSheetId="5" hidden="1">'[5]Income Statement'!#REF!</definedName>
    <definedName name="XRefCopy1" hidden="1">#REF!</definedName>
    <definedName name="XRefCopy10" localSheetId="5" hidden="1">'[5]Income Statement'!#REF!</definedName>
    <definedName name="XRefCopy10" hidden="1">#REF!</definedName>
    <definedName name="XRefCopy10Row" hidden="1">#REF!</definedName>
    <definedName name="XRefCopy11" localSheetId="5" hidden="1">'[5]Income Statement'!#REF!</definedName>
    <definedName name="XRefCopy11" hidden="1">#REF!</definedName>
    <definedName name="XRefCopy11Row" hidden="1">#REF!</definedName>
    <definedName name="XRefCopy12" localSheetId="5" hidden="1">'[5]Income Statement'!#REF!</definedName>
    <definedName name="XRefCopy12" hidden="1">#REF!</definedName>
    <definedName name="XRefCopy12Row" hidden="1">#REF!</definedName>
    <definedName name="XRefCopy13" localSheetId="5" hidden="1">'[5]Income Statement'!#REF!</definedName>
    <definedName name="XRefCopy13" hidden="1">#REF!</definedName>
    <definedName name="XRefCopy13Row" hidden="1">#REF!</definedName>
    <definedName name="XRefCopy14" localSheetId="5" hidden="1">'[5]Income Statement'!#REF!</definedName>
    <definedName name="XRefCopy14" hidden="1">#REF!</definedName>
    <definedName name="XRefCopy14Row" hidden="1">#REF!</definedName>
    <definedName name="XRefCopy15" localSheetId="5" hidden="1">'[5]Income Statement'!#REF!</definedName>
    <definedName name="XRefCopy15" hidden="1">#REF!</definedName>
    <definedName name="XRefCopy15Row" hidden="1">#REF!</definedName>
    <definedName name="XRefCopy16" localSheetId="5" hidden="1">'[5]Income Statement'!#REF!</definedName>
    <definedName name="XRefCopy16" hidden="1">#REF!</definedName>
    <definedName name="XRefCopy16Row" hidden="1">#REF!</definedName>
    <definedName name="XRefCopy17" localSheetId="5" hidden="1">'[5]Income Statement'!#REF!</definedName>
    <definedName name="XRefCopy17" hidden="1">#REF!</definedName>
    <definedName name="XRefCopy17Row" hidden="1">#REF!</definedName>
    <definedName name="XRefCopy18" localSheetId="5" hidden="1">'[5]Income Statement'!#REF!</definedName>
    <definedName name="XRefCopy18" hidden="1">#REF!</definedName>
    <definedName name="XRefCopy18Row" hidden="1">#REF!</definedName>
    <definedName name="XRefCopy19" localSheetId="5" hidden="1">'[5]Income Statement'!#REF!</definedName>
    <definedName name="XRefCopy19" hidden="1">#REF!</definedName>
    <definedName name="XRefCopy19Row" hidden="1">#REF!</definedName>
    <definedName name="XRefCopy1Row" hidden="1">#REF!</definedName>
    <definedName name="XRefCopy2" localSheetId="5" hidden="1">'[5]Income Statement'!#REF!</definedName>
    <definedName name="XRefCopy2" hidden="1">#REF!</definedName>
    <definedName name="XRefCopy20" localSheetId="5" hidden="1">'[5]Income Statement'!#REF!</definedName>
    <definedName name="XRefCopy20" hidden="1">#REF!</definedName>
    <definedName name="XRefCopy20Row" hidden="1">#REF!</definedName>
    <definedName name="XRefCopy21" localSheetId="5" hidden="1">'[5]Income Statement'!#REF!</definedName>
    <definedName name="XRefCopy21" hidden="1">#REF!</definedName>
    <definedName name="XRefCopy21Row" hidden="1">#REF!</definedName>
    <definedName name="XRefCopy22" localSheetId="5" hidden="1">'[5]Income Statement'!#REF!</definedName>
    <definedName name="XRefCopy22" hidden="1">#REF!</definedName>
    <definedName name="XRefCopy22Row" hidden="1">#REF!</definedName>
    <definedName name="XRefCopy23" localSheetId="5" hidden="1">'[5]Income Statement'!#REF!</definedName>
    <definedName name="XRefCopy23" hidden="1">#REF!</definedName>
    <definedName name="XRefCopy23Row" hidden="1">#REF!</definedName>
    <definedName name="XRefCopy24" localSheetId="5" hidden="1">'[5]Income Statement'!#REF!</definedName>
    <definedName name="XRefCopy24" hidden="1">#REF!</definedName>
    <definedName name="XRefCopy24Row" hidden="1">#REF!</definedName>
    <definedName name="XRefCopy25" localSheetId="5" hidden="1">'[5]Income Statement'!#REF!</definedName>
    <definedName name="XRefCopy25" hidden="1">#REF!</definedName>
    <definedName name="XRefCopy25Row" hidden="1">#REF!</definedName>
    <definedName name="XRefCopy26" localSheetId="5" hidden="1">'[5]Income Statement'!#REF!</definedName>
    <definedName name="XRefCopy26" hidden="1">#REF!</definedName>
    <definedName name="XRefCopy26Row" hidden="1">#REF!</definedName>
    <definedName name="XRefCopy27" localSheetId="5" hidden="1">'[5]Income Statement'!#REF!</definedName>
    <definedName name="XRefCopy27" hidden="1">#REF!</definedName>
    <definedName name="XRefCopy27Row" hidden="1">#REF!</definedName>
    <definedName name="XRefCopy28" localSheetId="5" hidden="1">'[5]Income Statement'!#REF!</definedName>
    <definedName name="XRefCopy28" hidden="1">#REF!</definedName>
    <definedName name="XRefCopy28Row" hidden="1">#REF!</definedName>
    <definedName name="XRefCopy29" localSheetId="5" hidden="1">'[5]Income Statement'!#REF!</definedName>
    <definedName name="XRefCopy29" hidden="1">#REF!</definedName>
    <definedName name="XRefCopy29Row" hidden="1">#REF!</definedName>
    <definedName name="XRefCopy2Row" hidden="1">#REF!</definedName>
    <definedName name="XRefCopy3" localSheetId="5" hidden="1">'[5]Income Statement'!#REF!</definedName>
    <definedName name="XRefCopy3" hidden="1">#REF!</definedName>
    <definedName name="XRefCopy30" localSheetId="5" hidden="1">'[5]Income Statement'!#REF!</definedName>
    <definedName name="XRefCopy30" hidden="1">#REF!</definedName>
    <definedName name="XRefCopy30Row" hidden="1">#REF!</definedName>
    <definedName name="XRefCopy31" localSheetId="5" hidden="1">'[5]Income Statement'!#REF!</definedName>
    <definedName name="XRefCopy31" hidden="1">#REF!</definedName>
    <definedName name="XRefCopy31Row" hidden="1">#REF!</definedName>
    <definedName name="XRefCopy32" localSheetId="5" hidden="1">'[5]Income Statement'!#REF!</definedName>
    <definedName name="XRefCopy32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Row" hidden="1">#REF!</definedName>
    <definedName name="XRefCopy4" localSheetId="5" hidden="1">'[5]Income Statement'!#REF!</definedName>
    <definedName name="XRefCopy4" hidden="1">#REF!</definedName>
    <definedName name="XRefCopy40Row" hidden="1">#REF!</definedName>
    <definedName name="XRefCopy43Row" hidden="1">#REF!</definedName>
    <definedName name="XRefCopy45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localSheetId="5" hidden="1">'[5]Income Statement'!#REF!</definedName>
    <definedName name="XRefCopy5" hidden="1">#REF!</definedName>
    <definedName name="XRefCopy5Row" hidden="1">#REF!</definedName>
    <definedName name="XRefCopy6" localSheetId="5" hidden="1">'[5]Income Statement'!#REF!</definedName>
    <definedName name="XRefCopy6" hidden="1">#REF!</definedName>
    <definedName name="XRefCopy6Row" hidden="1">#REF!</definedName>
    <definedName name="XRefCopy7" localSheetId="5" hidden="1">'[5]Income Statement'!#REF!</definedName>
    <definedName name="XRefCopy7" hidden="1">#REF!</definedName>
    <definedName name="XRefCopy7Row" hidden="1">#REF!</definedName>
    <definedName name="XRefCopy8" localSheetId="5" hidden="1">'[5]Income Statement'!#REF!</definedName>
    <definedName name="XRefCopy8" hidden="1">#REF!</definedName>
    <definedName name="XRefCopy8Row" hidden="1">#REF!</definedName>
    <definedName name="XRefCopy9" localSheetId="5" hidden="1">'[5]Income Statement'!#REF!</definedName>
    <definedName name="XRefCopy9" hidden="1">#REF!</definedName>
    <definedName name="XRefCopy9Row" hidden="1">#REF!</definedName>
    <definedName name="XRefCopyRangeCount" hidden="1">50</definedName>
    <definedName name="XRefPaste1" localSheetId="5" hidden="1">'[5]Income Statement'!#REF!</definedName>
    <definedName name="XRefPaste1" hidden="1">#REF!</definedName>
    <definedName name="XRefPaste10" localSheetId="5" hidden="1">'[5]Income Statement'!#REF!</definedName>
    <definedName name="XRefPaste10" hidden="1">#REF!</definedName>
    <definedName name="XRefPaste10Row" hidden="1">#REF!</definedName>
    <definedName name="XRefPaste11" localSheetId="5" hidden="1">'[5]Income Statement'!#REF!</definedName>
    <definedName name="XRefPaste11" hidden="1">#REF!</definedName>
    <definedName name="XRefPaste11Row" hidden="1">#REF!</definedName>
    <definedName name="XRefPaste12" localSheetId="5" hidden="1">'[5]Income Statement'!#REF!</definedName>
    <definedName name="XRefPaste12" hidden="1">#REF!</definedName>
    <definedName name="XRefPaste12Row" hidden="1">#REF!</definedName>
    <definedName name="XRefPaste13" localSheetId="5" hidden="1">'[5]Income Statement'!#REF!</definedName>
    <definedName name="XRefPaste13" hidden="1">#REF!</definedName>
    <definedName name="XRefPaste13Row" hidden="1">#REF!</definedName>
    <definedName name="XRefPaste14" localSheetId="5" hidden="1">'[5]Income Statement'!#REF!</definedName>
    <definedName name="XRefPaste14" hidden="1">#REF!</definedName>
    <definedName name="XRefPaste14Row" hidden="1">#REF!</definedName>
    <definedName name="XRefPaste15" localSheetId="5" hidden="1">'[5]Income Statement'!#REF!</definedName>
    <definedName name="XRefPaste15" hidden="1">#REF!</definedName>
    <definedName name="XRefPaste15Row" hidden="1">#REF!</definedName>
    <definedName name="XRefPaste16" localSheetId="5" hidden="1">'[5]Income Statement'!#REF!</definedName>
    <definedName name="XRefPaste16" hidden="1">#REF!</definedName>
    <definedName name="XRefPaste16Row" hidden="1">#REF!</definedName>
    <definedName name="XRefPaste17" localSheetId="5" hidden="1">'[5]Income Statement'!#REF!</definedName>
    <definedName name="XRefPaste17" hidden="1">#REF!</definedName>
    <definedName name="XRefPaste17Row" hidden="1">#REF!</definedName>
    <definedName name="XRefPaste18" localSheetId="5" hidden="1">'[5]Income Statement'!#REF!</definedName>
    <definedName name="XRefPaste18" hidden="1">#REF!</definedName>
    <definedName name="XRefPaste18Row" hidden="1">#REF!</definedName>
    <definedName name="XRefPaste19" localSheetId="5" hidden="1">'[5]Income Statement'!#REF!</definedName>
    <definedName name="XRefPaste19" hidden="1">#REF!</definedName>
    <definedName name="XRefPaste19Row" hidden="1">#REF!</definedName>
    <definedName name="XRefPaste1Row" hidden="1">#REF!</definedName>
    <definedName name="XRefPaste2" localSheetId="5" hidden="1">'[5]Income Statement'!#REF!</definedName>
    <definedName name="XRefPaste2" hidden="1">#REF!</definedName>
    <definedName name="XRefPaste20" localSheetId="5" hidden="1">'[5]Income Statement'!#REF!</definedName>
    <definedName name="XRefPaste20" hidden="1">#REF!</definedName>
    <definedName name="XRefPaste20Row" hidden="1">#REF!</definedName>
    <definedName name="XRefPaste21" localSheetId="5" hidden="1">'[5]Income Statement'!#REF!</definedName>
    <definedName name="XRefPaste21" hidden="1">#REF!</definedName>
    <definedName name="XRefPaste21Row" hidden="1">#REF!</definedName>
    <definedName name="XRefPaste22" localSheetId="5" hidden="1">'[5]Income Statement'!#REF!</definedName>
    <definedName name="XRefPaste22" hidden="1">#REF!</definedName>
    <definedName name="XRefPaste22Row" hidden="1">#REF!</definedName>
    <definedName name="XRefPaste23" localSheetId="5" hidden="1">'[5]Income Statement'!#REF!</definedName>
    <definedName name="XRefPaste23" hidden="1">#REF!</definedName>
    <definedName name="XRefPaste23Row" hidden="1">#REF!</definedName>
    <definedName name="XRefPaste24" localSheetId="5" hidden="1">'[5]Income Statement'!#REF!</definedName>
    <definedName name="XRefPaste24" hidden="1">#REF!</definedName>
    <definedName name="XRefPaste24Row" hidden="1">#REF!</definedName>
    <definedName name="XRefPaste25" localSheetId="5" hidden="1">'[5]Income Statement'!#REF!</definedName>
    <definedName name="XRefPaste25" hidden="1">#REF!</definedName>
    <definedName name="XRefPaste25Row" hidden="1">#REF!</definedName>
    <definedName name="XRefPaste26" localSheetId="5" hidden="1">'[5]Income Statement'!#REF!</definedName>
    <definedName name="XRefPaste26" hidden="1">#REF!</definedName>
    <definedName name="XRefPaste26Row" hidden="1">#REF!</definedName>
    <definedName name="XRefPaste27" localSheetId="5" hidden="1">'[5]Income Statement'!#REF!</definedName>
    <definedName name="XRefPaste27" hidden="1">#REF!</definedName>
    <definedName name="XRefPaste27Row" hidden="1">#REF!</definedName>
    <definedName name="XRefPaste28" localSheetId="5" hidden="1">'[5]Income Statement'!#REF!</definedName>
    <definedName name="XRefPaste28" hidden="1">#REF!</definedName>
    <definedName name="XRefPaste28Row" hidden="1">#REF!</definedName>
    <definedName name="XRefPaste29" localSheetId="5" hidden="1">'[5]Income Statement'!#REF!</definedName>
    <definedName name="XRefPaste29" hidden="1">#REF!</definedName>
    <definedName name="XRefPaste29Row" hidden="1">#REF!</definedName>
    <definedName name="XRefPaste2Row" hidden="1">#REF!</definedName>
    <definedName name="XRefPaste3" localSheetId="5" hidden="1">'[5]Income Statement'!#REF!</definedName>
    <definedName name="XRefPaste3" hidden="1">#REF!</definedName>
    <definedName name="XRefPaste30" localSheetId="5" hidden="1">'[5]Income Statement'!#REF!</definedName>
    <definedName name="XRefPaste30" hidden="1">#REF!</definedName>
    <definedName name="XRefPaste30Row" hidden="1">#REF!</definedName>
    <definedName name="XRefPaste31" localSheetId="5" hidden="1">'[5]Income Statement'!#REF!</definedName>
    <definedName name="XRefPaste31" hidden="1">#REF!</definedName>
    <definedName name="XRefPaste31Row" hidden="1">#REF!</definedName>
    <definedName name="XRefPaste32" localSheetId="5" hidden="1">'[5]Income Statement'!#REF!</definedName>
    <definedName name="XRefPaste32" hidden="1">#REF!</definedName>
    <definedName name="XRefPaste32Row" hidden="1">#REF!</definedName>
    <definedName name="XRefPaste33" localSheetId="5" hidden="1">'[5]Income Statement'!#REF!</definedName>
    <definedName name="XRefPaste33" hidden="1">#REF!</definedName>
    <definedName name="XRefPaste33Row" hidden="1">#REF!</definedName>
    <definedName name="XRefPaste34" localSheetId="5" hidden="1">'[5]Income Statement'!#REF!</definedName>
    <definedName name="XRefPaste34" hidden="1">#REF!</definedName>
    <definedName name="XRefPaste34Row" hidden="1">#REF!</definedName>
    <definedName name="XRefPaste35" localSheetId="5" hidden="1">'[5]Income Statement'!#REF!</definedName>
    <definedName name="XRefPaste35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localSheetId="5" hidden="1">'[5]Income Statement'!#REF!</definedName>
    <definedName name="XRefPaste4" hidden="1">#REF!</definedName>
    <definedName name="XRefPaste41Row" hidden="1">#REF!</definedName>
    <definedName name="XRefPaste44Row" hidden="1">#REF!</definedName>
    <definedName name="XRefPaste45Row" hidden="1">#REF!</definedName>
    <definedName name="XRefPaste46Row" hidden="1">#REF!</definedName>
    <definedName name="XRefPaste47Row" hidden="1">#REF!</definedName>
    <definedName name="XRefPaste48Row" hidden="1">#REF!</definedName>
    <definedName name="XRefPaste4Row" hidden="1">#REF!</definedName>
    <definedName name="XRefPaste5" localSheetId="5" hidden="1">'[5]Income Statement'!#REF!</definedName>
    <definedName name="XRefPaste5" hidden="1">#REF!</definedName>
    <definedName name="XRefPaste52Row" hidden="1">#REF!</definedName>
    <definedName name="XRefPaste53Row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#REF!</definedName>
    <definedName name="XRefPaste63Row" hidden="1">#REF!</definedName>
    <definedName name="XRefPaste7" localSheetId="5" hidden="1">'[5]Income Statement'!#REF!</definedName>
    <definedName name="XRefPaste7" hidden="1">#REF!</definedName>
    <definedName name="XRefPaste7Row" hidden="1">#REF!</definedName>
    <definedName name="XRefPaste8" localSheetId="5" hidden="1">'[5]Income Statement'!#REF!</definedName>
    <definedName name="XRefPaste8" hidden="1">#REF!</definedName>
    <definedName name="XRefPaste8Row" hidden="1">#REF!</definedName>
    <definedName name="XRefPaste9" localSheetId="5" hidden="1">'[5]Income Statement'!#REF!</definedName>
    <definedName name="XRefPaste9" hidden="1">#REF!</definedName>
    <definedName name="XRefPaste9Row" hidden="1">#REF!</definedName>
    <definedName name="XRefPasteRangeCount" hidden="1">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5" l="1"/>
  <c r="G15" i="5"/>
  <c r="F14" i="5"/>
  <c r="F9" i="5"/>
  <c r="E14" i="5"/>
  <c r="E9" i="5"/>
  <c r="E21" i="4"/>
  <c r="D14" i="4"/>
  <c r="C8" i="4"/>
  <c r="C13" i="4"/>
  <c r="B8" i="4"/>
  <c r="B13" i="4"/>
  <c r="B10" i="4"/>
  <c r="B11" i="4"/>
  <c r="B9" i="4"/>
  <c r="E22" i="4"/>
  <c r="D22" i="4"/>
  <c r="C22" i="4"/>
  <c r="B22" i="4"/>
  <c r="E20" i="4"/>
  <c r="C20" i="4"/>
  <c r="B20" i="4"/>
  <c r="E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C14" i="4"/>
  <c r="B14" i="4"/>
  <c r="D13" i="4"/>
  <c r="D7" i="4"/>
  <c r="C7" i="4"/>
  <c r="B7" i="4"/>
  <c r="C6" i="4"/>
  <c r="E5" i="4"/>
  <c r="D5" i="4"/>
  <c r="B5" i="4"/>
  <c r="U7" i="6"/>
  <c r="U8" i="6"/>
  <c r="U13" i="6"/>
  <c r="T13" i="6"/>
  <c r="T8" i="6"/>
  <c r="S8" i="6"/>
  <c r="S13" i="6"/>
  <c r="R8" i="6"/>
  <c r="R13" i="6"/>
  <c r="M14" i="6"/>
  <c r="L13" i="6"/>
  <c r="L8" i="6"/>
  <c r="K13" i="6"/>
  <c r="K8" i="6"/>
  <c r="H14" i="6"/>
  <c r="H15" i="6"/>
  <c r="G14" i="6"/>
  <c r="F14" i="6"/>
  <c r="F8" i="6"/>
  <c r="F13" i="6"/>
  <c r="E13" i="6"/>
  <c r="E8" i="6"/>
  <c r="O14" i="3"/>
  <c r="O8" i="3"/>
  <c r="O11" i="3"/>
  <c r="O9" i="3"/>
  <c r="O24" i="3"/>
  <c r="O23" i="3"/>
  <c r="O21" i="3"/>
  <c r="O20" i="3"/>
  <c r="O19" i="3"/>
  <c r="O18" i="3"/>
  <c r="O17" i="3"/>
  <c r="O16" i="3"/>
  <c r="O15" i="3"/>
  <c r="O13" i="3"/>
  <c r="O7" i="3"/>
  <c r="J5" i="3"/>
  <c r="J14" i="3"/>
  <c r="I14" i="3"/>
  <c r="I8" i="3"/>
  <c r="I20" i="3"/>
  <c r="H8" i="3"/>
  <c r="H13" i="3"/>
  <c r="H11" i="3" s="1"/>
  <c r="H20" i="3"/>
  <c r="L24" i="3"/>
  <c r="K24" i="3"/>
  <c r="J24" i="3"/>
  <c r="I24" i="3"/>
  <c r="H24" i="3"/>
  <c r="L23" i="3"/>
  <c r="K23" i="3"/>
  <c r="J23" i="3"/>
  <c r="I23" i="3"/>
  <c r="H23" i="3"/>
  <c r="L22" i="3"/>
  <c r="K22" i="3"/>
  <c r="J22" i="3"/>
  <c r="I22" i="3"/>
  <c r="H22" i="3"/>
  <c r="L21" i="3"/>
  <c r="K21" i="3"/>
  <c r="J21" i="3"/>
  <c r="I21" i="3"/>
  <c r="H21" i="3"/>
  <c r="L20" i="3"/>
  <c r="K20" i="3"/>
  <c r="J20" i="3"/>
  <c r="I19" i="3"/>
  <c r="H19" i="3"/>
  <c r="L18" i="3"/>
  <c r="K18" i="3"/>
  <c r="J18" i="3"/>
  <c r="I18" i="3"/>
  <c r="H18" i="3"/>
  <c r="L17" i="3"/>
  <c r="K17" i="3"/>
  <c r="J17" i="3"/>
  <c r="I17" i="3"/>
  <c r="H17" i="3"/>
  <c r="L16" i="3"/>
  <c r="K16" i="3"/>
  <c r="J16" i="3"/>
  <c r="I16" i="3"/>
  <c r="H16" i="3"/>
  <c r="L15" i="3"/>
  <c r="K15" i="3"/>
  <c r="J15" i="3"/>
  <c r="I15" i="3"/>
  <c r="H15" i="3"/>
  <c r="L14" i="3"/>
  <c r="K14" i="3"/>
  <c r="H14" i="3"/>
  <c r="J13" i="3"/>
  <c r="I13" i="3"/>
  <c r="I11" i="3" s="1"/>
  <c r="J7" i="3"/>
  <c r="I7" i="3"/>
  <c r="H7" i="3"/>
  <c r="J6" i="3"/>
  <c r="I6" i="3"/>
  <c r="H6" i="3"/>
  <c r="I5" i="3"/>
  <c r="H5" i="3"/>
  <c r="F22" i="3"/>
  <c r="E14" i="3"/>
  <c r="D14" i="3"/>
  <c r="C8" i="3"/>
  <c r="C20" i="3"/>
  <c r="D24" i="3"/>
  <c r="C24" i="3"/>
  <c r="D23" i="3"/>
  <c r="C23" i="3"/>
  <c r="D21" i="3"/>
  <c r="C21" i="3"/>
  <c r="D20" i="3"/>
  <c r="D19" i="3"/>
  <c r="C19" i="3"/>
  <c r="F18" i="3"/>
  <c r="E18" i="3"/>
  <c r="D18" i="3"/>
  <c r="C18" i="3"/>
  <c r="D17" i="3"/>
  <c r="C17" i="3"/>
  <c r="D16" i="3"/>
  <c r="C16" i="3"/>
  <c r="D15" i="3"/>
  <c r="C15" i="3"/>
  <c r="F14" i="3"/>
  <c r="C14" i="3"/>
  <c r="C13" i="3"/>
  <c r="C11" i="3" s="1"/>
  <c r="D7" i="3"/>
  <c r="C7" i="3"/>
  <c r="C6" i="3"/>
  <c r="D5" i="3"/>
  <c r="B14" i="3"/>
  <c r="B20" i="3"/>
  <c r="B24" i="3"/>
  <c r="B23" i="3"/>
  <c r="B21" i="3"/>
  <c r="B19" i="3"/>
  <c r="B18" i="3"/>
  <c r="B17" i="3"/>
  <c r="B16" i="3"/>
  <c r="B15" i="3"/>
  <c r="B11" i="3"/>
  <c r="B9" i="3"/>
  <c r="B8" i="3"/>
  <c r="H9" i="3" l="1"/>
  <c r="H10" i="3"/>
  <c r="I9" i="3"/>
  <c r="I10" i="3"/>
  <c r="C9" i="3"/>
  <c r="C10" i="3"/>
  <c r="B13" i="3" l="1"/>
  <c r="B7" i="3"/>
  <c r="B5" i="3"/>
  <c r="G103" i="11" l="1"/>
  <c r="F103" i="11"/>
  <c r="D103" i="11"/>
  <c r="E102" i="11"/>
  <c r="E103" i="11" s="1"/>
  <c r="D102" i="11"/>
  <c r="H101" i="11"/>
  <c r="H102" i="11" s="1"/>
  <c r="H103" i="11" s="1"/>
  <c r="G101" i="11"/>
  <c r="G102" i="11" s="1"/>
  <c r="F101" i="11"/>
  <c r="F102" i="11" s="1"/>
  <c r="E101" i="11"/>
  <c r="D101" i="11"/>
  <c r="H100" i="11"/>
  <c r="G100" i="11"/>
  <c r="F100" i="11"/>
  <c r="E100" i="11"/>
  <c r="D100" i="11"/>
  <c r="H98" i="11"/>
  <c r="H96" i="11"/>
  <c r="G96" i="11"/>
  <c r="G97" i="11" s="1"/>
  <c r="G98" i="11" s="1"/>
  <c r="F96" i="11"/>
  <c r="F97" i="11" s="1"/>
  <c r="F98" i="11" s="1"/>
  <c r="E96" i="11"/>
  <c r="E97" i="11" s="1"/>
  <c r="E98" i="11" s="1"/>
  <c r="D96" i="11"/>
  <c r="D97" i="11" s="1"/>
  <c r="D98" i="11" s="1"/>
  <c r="I95" i="11"/>
  <c r="H95" i="11"/>
  <c r="H97" i="11" s="1"/>
  <c r="G95" i="11"/>
  <c r="F95" i="11"/>
  <c r="E95" i="11"/>
  <c r="D95" i="11"/>
  <c r="H92" i="11"/>
  <c r="H93" i="11" s="1"/>
  <c r="G92" i="11"/>
  <c r="G93" i="11" s="1"/>
  <c r="F92" i="11"/>
  <c r="F93" i="11" s="1"/>
  <c r="E92" i="11"/>
  <c r="E93" i="11" s="1"/>
  <c r="D92" i="11"/>
  <c r="D93" i="11" s="1"/>
  <c r="I91" i="11"/>
  <c r="I90" i="11"/>
  <c r="I100" i="11" s="1"/>
  <c r="E85" i="11"/>
  <c r="D85" i="11"/>
  <c r="D84" i="11"/>
  <c r="E84" i="11" s="1"/>
  <c r="E83" i="11" s="1"/>
  <c r="I75" i="11"/>
  <c r="G75" i="11"/>
  <c r="F75" i="11"/>
  <c r="E75" i="11"/>
  <c r="D75" i="11"/>
  <c r="G70" i="11"/>
  <c r="D69" i="11"/>
  <c r="G68" i="11"/>
  <c r="G67" i="11"/>
  <c r="G66" i="11"/>
  <c r="G65" i="11"/>
  <c r="F65" i="11"/>
  <c r="E65" i="11"/>
  <c r="D65" i="11"/>
  <c r="G63" i="11"/>
  <c r="E62" i="11"/>
  <c r="G60" i="11"/>
  <c r="G59" i="11"/>
  <c r="G57" i="11"/>
  <c r="D57" i="11"/>
  <c r="G53" i="11"/>
  <c r="G69" i="11" s="1"/>
  <c r="F53" i="11"/>
  <c r="F56" i="11" s="1"/>
  <c r="E53" i="11"/>
  <c r="E56" i="11" s="1"/>
  <c r="D53" i="11"/>
  <c r="D63" i="11" s="1"/>
  <c r="Q44" i="11"/>
  <c r="O44" i="11"/>
  <c r="M44" i="11"/>
  <c r="K44" i="11"/>
  <c r="P39" i="11"/>
  <c r="J39" i="11"/>
  <c r="I39" i="11"/>
  <c r="P37" i="11"/>
  <c r="V34" i="11"/>
  <c r="E34" i="11"/>
  <c r="C34" i="11"/>
  <c r="F34" i="11" s="1"/>
  <c r="V33" i="11"/>
  <c r="C33" i="11"/>
  <c r="D33" i="11" s="1"/>
  <c r="V32" i="11"/>
  <c r="O32" i="11"/>
  <c r="G32" i="11"/>
  <c r="F32" i="11"/>
  <c r="E69" i="11" s="1"/>
  <c r="D32" i="11"/>
  <c r="C32" i="11"/>
  <c r="V31" i="11"/>
  <c r="C31" i="11"/>
  <c r="O31" i="11" s="1"/>
  <c r="V30" i="11"/>
  <c r="D30" i="11"/>
  <c r="C30" i="11"/>
  <c r="V29" i="11"/>
  <c r="O29" i="11"/>
  <c r="J29" i="11"/>
  <c r="I29" i="11"/>
  <c r="F67" i="11" s="1"/>
  <c r="G29" i="11"/>
  <c r="F29" i="11"/>
  <c r="E67" i="11" s="1"/>
  <c r="C29" i="11"/>
  <c r="D29" i="11" s="1"/>
  <c r="D67" i="11" s="1"/>
  <c r="V28" i="11"/>
  <c r="I28" i="11"/>
  <c r="F66" i="11" s="1"/>
  <c r="G28" i="11"/>
  <c r="C28" i="11"/>
  <c r="J28" i="11" s="1"/>
  <c r="V27" i="11"/>
  <c r="C27" i="11"/>
  <c r="V26" i="11"/>
  <c r="R26" i="11"/>
  <c r="R37" i="11" s="1"/>
  <c r="R39" i="11" s="1"/>
  <c r="Q26" i="11"/>
  <c r="N26" i="11"/>
  <c r="M26" i="11"/>
  <c r="L26" i="11"/>
  <c r="K26" i="11"/>
  <c r="G64" i="11" s="1"/>
  <c r="J26" i="11"/>
  <c r="E26" i="11"/>
  <c r="C26" i="11"/>
  <c r="F26" i="11" s="1"/>
  <c r="R25" i="11"/>
  <c r="N25" i="11"/>
  <c r="L25" i="11"/>
  <c r="J25" i="11"/>
  <c r="G25" i="11"/>
  <c r="E25" i="11"/>
  <c r="T25" i="11" s="1"/>
  <c r="W25" i="11" s="1"/>
  <c r="C25" i="11"/>
  <c r="V24" i="11"/>
  <c r="D24" i="11"/>
  <c r="D62" i="11" s="1"/>
  <c r="C24" i="11"/>
  <c r="F24" i="11" s="1"/>
  <c r="V23" i="11"/>
  <c r="J23" i="11"/>
  <c r="H23" i="11"/>
  <c r="G23" i="11"/>
  <c r="C23" i="11"/>
  <c r="F23" i="11" s="1"/>
  <c r="E61" i="11" s="1"/>
  <c r="V22" i="11"/>
  <c r="G22" i="11"/>
  <c r="F22" i="11"/>
  <c r="E60" i="11" s="1"/>
  <c r="E22" i="11"/>
  <c r="D22" i="11"/>
  <c r="D60" i="11" s="1"/>
  <c r="C22" i="11"/>
  <c r="V21" i="11"/>
  <c r="C21" i="11"/>
  <c r="V20" i="11"/>
  <c r="L20" i="11"/>
  <c r="K20" i="11"/>
  <c r="G58" i="11" s="1"/>
  <c r="J20" i="11"/>
  <c r="H20" i="11"/>
  <c r="C20" i="11"/>
  <c r="V19" i="11"/>
  <c r="F19" i="11"/>
  <c r="C19" i="11"/>
  <c r="G19" i="11" s="1"/>
  <c r="V18" i="11"/>
  <c r="K18" i="11"/>
  <c r="G56" i="11" s="1"/>
  <c r="E18" i="11"/>
  <c r="C18" i="11"/>
  <c r="D18" i="11" s="1"/>
  <c r="O15" i="11"/>
  <c r="J15" i="11"/>
  <c r="I15" i="11"/>
  <c r="H15" i="11"/>
  <c r="G15" i="11"/>
  <c r="G34" i="11" s="1"/>
  <c r="F15" i="11"/>
  <c r="E15" i="11"/>
  <c r="D15" i="11"/>
  <c r="R13" i="11"/>
  <c r="R27" i="11" s="1"/>
  <c r="Q13" i="11"/>
  <c r="P13" i="11"/>
  <c r="O13" i="11"/>
  <c r="N13" i="11"/>
  <c r="M13" i="11"/>
  <c r="M24" i="11" s="1"/>
  <c r="M37" i="11" s="1"/>
  <c r="L13" i="11"/>
  <c r="K13" i="11"/>
  <c r="K23" i="11" s="1"/>
  <c r="G61" i="11" s="1"/>
  <c r="J13" i="11"/>
  <c r="J21" i="11" s="1"/>
  <c r="I13" i="11"/>
  <c r="I19" i="11" s="1"/>
  <c r="H13" i="11"/>
  <c r="H19" i="11" s="1"/>
  <c r="G13" i="11"/>
  <c r="F13" i="11"/>
  <c r="E13" i="11"/>
  <c r="E20" i="11" s="1"/>
  <c r="D13" i="11"/>
  <c r="D44" i="11" s="1"/>
  <c r="W5" i="11"/>
  <c r="F4" i="11"/>
  <c r="F6" i="11" s="1"/>
  <c r="E4" i="11"/>
  <c r="E6" i="11" s="1"/>
  <c r="D4" i="11"/>
  <c r="D6" i="11" s="1"/>
  <c r="C28" i="2"/>
  <c r="F57" i="11" l="1"/>
  <c r="M39" i="11"/>
  <c r="M42" i="11"/>
  <c r="D31" i="11"/>
  <c r="G73" i="11"/>
  <c r="E31" i="11"/>
  <c r="F44" i="11"/>
  <c r="E29" i="11"/>
  <c r="E33" i="11"/>
  <c r="T33" i="11" s="1"/>
  <c r="W33" i="11" s="1"/>
  <c r="E30" i="11"/>
  <c r="D28" i="11"/>
  <c r="G21" i="11"/>
  <c r="G26" i="11"/>
  <c r="G20" i="11"/>
  <c r="G37" i="11" s="1"/>
  <c r="G4" i="11"/>
  <c r="G6" i="11" s="1"/>
  <c r="F31" i="11"/>
  <c r="E68" i="11" s="1"/>
  <c r="F30" i="11"/>
  <c r="F33" i="11"/>
  <c r="E70" i="11" s="1"/>
  <c r="I26" i="11"/>
  <c r="F64" i="11" s="1"/>
  <c r="F73" i="11" s="1"/>
  <c r="E28" i="11"/>
  <c r="E32" i="11"/>
  <c r="H31" i="11"/>
  <c r="H32" i="11"/>
  <c r="H30" i="11"/>
  <c r="H33" i="11"/>
  <c r="I96" i="11"/>
  <c r="I97" i="11" s="1"/>
  <c r="I98" i="11" s="1"/>
  <c r="I92" i="11"/>
  <c r="I93" i="11" s="1"/>
  <c r="I44" i="11"/>
  <c r="I101" i="11"/>
  <c r="I102" i="11" s="1"/>
  <c r="I103" i="11" s="1"/>
  <c r="D56" i="11"/>
  <c r="D37" i="11"/>
  <c r="T22" i="11"/>
  <c r="W22" i="11" s="1"/>
  <c r="D70" i="11"/>
  <c r="Q27" i="11"/>
  <c r="Q24" i="11"/>
  <c r="Q37" i="11" s="1"/>
  <c r="V37" i="11"/>
  <c r="H26" i="11"/>
  <c r="H22" i="11"/>
  <c r="H4" i="11"/>
  <c r="H6" i="11" s="1"/>
  <c r="H21" i="11"/>
  <c r="H37" i="11" s="1"/>
  <c r="H39" i="11" s="1"/>
  <c r="H24" i="11"/>
  <c r="T24" i="11" s="1"/>
  <c r="W24" i="11" s="1"/>
  <c r="G31" i="11"/>
  <c r="G30" i="11"/>
  <c r="G33" i="11"/>
  <c r="F28" i="11"/>
  <c r="E66" i="11" s="1"/>
  <c r="H34" i="11"/>
  <c r="E57" i="11"/>
  <c r="I22" i="11"/>
  <c r="F60" i="11" s="1"/>
  <c r="I21" i="11"/>
  <c r="F59" i="11" s="1"/>
  <c r="I24" i="11"/>
  <c r="F62" i="11" s="1"/>
  <c r="H28" i="11"/>
  <c r="K37" i="11"/>
  <c r="H29" i="11"/>
  <c r="T29" i="11" s="1"/>
  <c r="W29" i="11" s="1"/>
  <c r="I31" i="11"/>
  <c r="F68" i="11" s="1"/>
  <c r="N37" i="11"/>
  <c r="N39" i="11" s="1"/>
  <c r="J31" i="11"/>
  <c r="J34" i="11"/>
  <c r="I34" i="11"/>
  <c r="I20" i="11"/>
  <c r="F58" i="11" s="1"/>
  <c r="I23" i="11"/>
  <c r="F61" i="11" s="1"/>
  <c r="D34" i="11"/>
  <c r="T34" i="11" s="1"/>
  <c r="W34" i="11" s="1"/>
  <c r="F21" i="11"/>
  <c r="E59" i="11" s="1"/>
  <c r="E73" i="11" s="1"/>
  <c r="E21" i="11"/>
  <c r="E37" i="11" s="1"/>
  <c r="E39" i="11" s="1"/>
  <c r="E63" i="11"/>
  <c r="L23" i="11"/>
  <c r="L18" i="11"/>
  <c r="L37" i="11" s="1"/>
  <c r="L39" i="11" s="1"/>
  <c r="O33" i="11"/>
  <c r="O28" i="11"/>
  <c r="O34" i="11"/>
  <c r="F63" i="11"/>
  <c r="D23" i="11"/>
  <c r="K24" i="11"/>
  <c r="G62" i="11" s="1"/>
  <c r="E64" i="11"/>
  <c r="E23" i="11"/>
  <c r="D26" i="11"/>
  <c r="J22" i="11"/>
  <c r="I32" i="11"/>
  <c r="F69" i="11" s="1"/>
  <c r="I33" i="11"/>
  <c r="F70" i="11" s="1"/>
  <c r="J19" i="11"/>
  <c r="J37" i="11" s="1"/>
  <c r="J32" i="11"/>
  <c r="J33" i="11"/>
  <c r="D21" i="11"/>
  <c r="D83" i="11"/>
  <c r="D20" i="11"/>
  <c r="T13" i="11"/>
  <c r="F20" i="11"/>
  <c r="E58" i="11" s="1"/>
  <c r="G39" i="11" l="1"/>
  <c r="G47" i="11"/>
  <c r="D39" i="11"/>
  <c r="K39" i="11"/>
  <c r="K42" i="11"/>
  <c r="T18" i="11"/>
  <c r="W18" i="11" s="1"/>
  <c r="D68" i="11"/>
  <c r="T31" i="11"/>
  <c r="W31" i="11" s="1"/>
  <c r="D64" i="11"/>
  <c r="D73" i="11" s="1"/>
  <c r="D42" i="11" s="1"/>
  <c r="T26" i="11"/>
  <c r="W26" i="11" s="1"/>
  <c r="T19" i="11"/>
  <c r="W19" i="11" s="1"/>
  <c r="F37" i="11"/>
  <c r="T20" i="11"/>
  <c r="W20" i="11" s="1"/>
  <c r="D58" i="11"/>
  <c r="T23" i="11"/>
  <c r="W23" i="11" s="1"/>
  <c r="D61" i="11"/>
  <c r="F84" i="11"/>
  <c r="G84" i="11" s="1"/>
  <c r="I84" i="11" s="1"/>
  <c r="Q39" i="11"/>
  <c r="T28" i="11"/>
  <c r="W28" i="11" s="1"/>
  <c r="D66" i="11"/>
  <c r="T27" i="11"/>
  <c r="W27" i="11" s="1"/>
  <c r="T30" i="11"/>
  <c r="W30" i="11" s="1"/>
  <c r="D59" i="11"/>
  <c r="T21" i="11"/>
  <c r="W21" i="11" s="1"/>
  <c r="O37" i="11"/>
  <c r="T32" i="11"/>
  <c r="W32" i="11" s="1"/>
  <c r="I37" i="11"/>
  <c r="I42" i="11" s="1"/>
  <c r="F11" i="7"/>
  <c r="F12" i="7" s="1"/>
  <c r="D44" i="7"/>
  <c r="E44" i="7" s="1"/>
  <c r="D43" i="7"/>
  <c r="E43" i="7" s="1"/>
  <c r="D42" i="7"/>
  <c r="E42" i="7" s="1"/>
  <c r="E38" i="7"/>
  <c r="E37" i="7"/>
  <c r="D37" i="7"/>
  <c r="D38" i="7" s="1"/>
  <c r="D39" i="7"/>
  <c r="E41" i="7" s="1"/>
  <c r="E33" i="7"/>
  <c r="E36" i="7" s="1"/>
  <c r="D33" i="7"/>
  <c r="D35" i="7" s="1"/>
  <c r="F27" i="7"/>
  <c r="F32" i="7" s="1"/>
  <c r="E27" i="7"/>
  <c r="E29" i="7" s="1"/>
  <c r="D27" i="7"/>
  <c r="D32" i="7" s="1"/>
  <c r="F16" i="7"/>
  <c r="F20" i="7" s="1"/>
  <c r="E16" i="7"/>
  <c r="E26" i="7" s="1"/>
  <c r="D16" i="7"/>
  <c r="D22" i="7" s="1"/>
  <c r="E11" i="7"/>
  <c r="E14" i="7" s="1"/>
  <c r="D11" i="7"/>
  <c r="D12" i="7" s="1"/>
  <c r="F3" i="7"/>
  <c r="F10" i="7" s="1"/>
  <c r="E3" i="7"/>
  <c r="E6" i="7" s="1"/>
  <c r="D3" i="7"/>
  <c r="D6" i="7" s="1"/>
  <c r="T37" i="11" l="1"/>
  <c r="W37" i="11" s="1"/>
  <c r="O42" i="11"/>
  <c r="O39" i="11"/>
  <c r="F83" i="11"/>
  <c r="F39" i="11"/>
  <c r="F42" i="11"/>
  <c r="F47" i="11"/>
  <c r="D7" i="7"/>
  <c r="F43" i="7"/>
  <c r="F23" i="7"/>
  <c r="O10" i="3"/>
  <c r="R10" i="3" s="1"/>
  <c r="R16" i="3"/>
  <c r="F28" i="7"/>
  <c r="F36" i="7"/>
  <c r="F33" i="7"/>
  <c r="F34" i="7"/>
  <c r="F35" i="7"/>
  <c r="F44" i="7"/>
  <c r="F38" i="7"/>
  <c r="F37" i="7"/>
  <c r="F21" i="7"/>
  <c r="F39" i="7"/>
  <c r="F22" i="7"/>
  <c r="F40" i="7"/>
  <c r="F41" i="7"/>
  <c r="F42" i="7"/>
  <c r="F13" i="7"/>
  <c r="F14" i="7"/>
  <c r="F15" i="7"/>
  <c r="D40" i="7"/>
  <c r="D41" i="7"/>
  <c r="E13" i="7"/>
  <c r="E12" i="7"/>
  <c r="E15" i="7"/>
  <c r="D28" i="7"/>
  <c r="D30" i="7"/>
  <c r="D18" i="7"/>
  <c r="D23" i="7"/>
  <c r="D24" i="7"/>
  <c r="D26" i="7"/>
  <c r="D13" i="7"/>
  <c r="D14" i="7"/>
  <c r="D15" i="7"/>
  <c r="D8" i="7"/>
  <c r="D9" i="7"/>
  <c r="D10" i="7"/>
  <c r="D4" i="7"/>
  <c r="D5" i="7"/>
  <c r="E39" i="7"/>
  <c r="E40" i="7"/>
  <c r="E34" i="7"/>
  <c r="E35" i="7"/>
  <c r="D36" i="7"/>
  <c r="D34" i="7"/>
  <c r="F29" i="7"/>
  <c r="F30" i="7"/>
  <c r="F31" i="7"/>
  <c r="E30" i="7"/>
  <c r="E31" i="7"/>
  <c r="E28" i="7"/>
  <c r="E32" i="7"/>
  <c r="D29" i="7"/>
  <c r="D31" i="7"/>
  <c r="F24" i="7"/>
  <c r="F17" i="7"/>
  <c r="F25" i="7"/>
  <c r="F18" i="7"/>
  <c r="F26" i="7"/>
  <c r="F19" i="7"/>
  <c r="E23" i="7"/>
  <c r="E20" i="7"/>
  <c r="E24" i="7"/>
  <c r="E17" i="7"/>
  <c r="E21" i="7"/>
  <c r="E25" i="7"/>
  <c r="E19" i="7"/>
  <c r="E18" i="7"/>
  <c r="E22" i="7"/>
  <c r="D17" i="7"/>
  <c r="D25" i="7"/>
  <c r="D19" i="7"/>
  <c r="D20" i="7"/>
  <c r="D21" i="7"/>
  <c r="F5" i="7"/>
  <c r="F6" i="7"/>
  <c r="F4" i="7"/>
  <c r="F8" i="7"/>
  <c r="F9" i="7"/>
  <c r="F7" i="7"/>
  <c r="E7" i="7"/>
  <c r="E8" i="7"/>
  <c r="E4" i="7"/>
  <c r="E9" i="7"/>
  <c r="E5" i="7"/>
  <c r="E10" i="7"/>
  <c r="Q24" i="3"/>
  <c r="R23" i="3"/>
  <c r="Q21" i="3"/>
  <c r="Q20" i="3"/>
  <c r="P18" i="3"/>
  <c r="Q17" i="3"/>
  <c r="Q15" i="3"/>
  <c r="R22" i="3"/>
  <c r="R19" i="3"/>
  <c r="Q14" i="3"/>
  <c r="R7" i="3"/>
  <c r="Q7" i="3"/>
  <c r="P7" i="3"/>
  <c r="F85" i="11" l="1"/>
  <c r="G83" i="11"/>
  <c r="I83" i="11" s="1"/>
  <c r="I85" i="11" s="1"/>
  <c r="J85" i="11" s="1"/>
  <c r="I53" i="11" s="1"/>
  <c r="B10" i="3"/>
  <c r="D27" i="4"/>
  <c r="O27" i="3"/>
  <c r="Q13" i="3"/>
  <c r="R8" i="3"/>
  <c r="R9" i="3"/>
  <c r="Q11" i="3"/>
  <c r="P24" i="3"/>
  <c r="P23" i="3"/>
  <c r="Q23" i="3"/>
  <c r="R21" i="3"/>
  <c r="P21" i="3"/>
  <c r="R18" i="3"/>
  <c r="Q18" i="3"/>
  <c r="P17" i="3"/>
  <c r="R17" i="3"/>
  <c r="P16" i="3"/>
  <c r="Q16" i="3"/>
  <c r="R15" i="3"/>
  <c r="R20" i="3"/>
  <c r="P22" i="3"/>
  <c r="R24" i="3"/>
  <c r="Q22" i="3"/>
  <c r="P20" i="3"/>
  <c r="P15" i="3"/>
  <c r="Q19" i="3"/>
  <c r="P19" i="3"/>
  <c r="P10" i="3"/>
  <c r="Q10" i="3"/>
  <c r="R14" i="3"/>
  <c r="P14" i="3"/>
  <c r="R13" i="3"/>
  <c r="P13" i="3"/>
  <c r="I61" i="11" l="1"/>
  <c r="I58" i="11"/>
  <c r="I56" i="11"/>
  <c r="I63" i="11"/>
  <c r="I59" i="11"/>
  <c r="I60" i="11"/>
  <c r="I57" i="11"/>
  <c r="I68" i="11"/>
  <c r="I67" i="11"/>
  <c r="I64" i="11"/>
  <c r="I62" i="11"/>
  <c r="I69" i="11"/>
  <c r="I66" i="11"/>
  <c r="I65" i="11"/>
  <c r="I70" i="11"/>
  <c r="R11" i="3"/>
  <c r="R27" i="3" s="1"/>
  <c r="P11" i="3"/>
  <c r="Q9" i="3"/>
  <c r="P9" i="3"/>
  <c r="P8" i="3"/>
  <c r="Q8" i="3"/>
  <c r="I73" i="11" l="1"/>
  <c r="Q42" i="11" s="1"/>
  <c r="P27" i="3"/>
  <c r="Q27" i="3"/>
  <c r="C11" i="4" l="1"/>
  <c r="E27" i="4" l="1"/>
  <c r="O12" i="3"/>
  <c r="R12" i="3" l="1"/>
  <c r="Q12" i="3"/>
  <c r="P12" i="3"/>
  <c r="R25" i="3"/>
  <c r="Q25" i="3"/>
  <c r="P25" i="3"/>
  <c r="O25" i="3"/>
  <c r="U19" i="6" l="1"/>
  <c r="T19" i="6"/>
  <c r="S19" i="6"/>
  <c r="R19" i="6"/>
  <c r="R29" i="3"/>
  <c r="Q29" i="3"/>
  <c r="R23" i="6"/>
  <c r="R21" i="6"/>
  <c r="R18" i="6"/>
  <c r="R16" i="6"/>
  <c r="R14" i="6"/>
  <c r="R10" i="6"/>
  <c r="R7" i="6"/>
  <c r="R5" i="6"/>
  <c r="R24" i="6"/>
  <c r="R22" i="6"/>
  <c r="R20" i="6"/>
  <c r="R17" i="6"/>
  <c r="R15" i="6"/>
  <c r="R11" i="6"/>
  <c r="R9" i="6"/>
  <c r="R6" i="6"/>
  <c r="S23" i="6"/>
  <c r="S21" i="6"/>
  <c r="S18" i="6"/>
  <c r="S16" i="6"/>
  <c r="S14" i="6"/>
  <c r="S10" i="6"/>
  <c r="S7" i="6"/>
  <c r="S5" i="6"/>
  <c r="S24" i="6"/>
  <c r="S22" i="6"/>
  <c r="S20" i="6"/>
  <c r="S17" i="6"/>
  <c r="S15" i="6"/>
  <c r="S11" i="6"/>
  <c r="S9" i="6"/>
  <c r="S6" i="6"/>
  <c r="U10" i="6"/>
  <c r="U16" i="6"/>
  <c r="U5" i="6"/>
  <c r="U18" i="6"/>
  <c r="U24" i="6"/>
  <c r="U22" i="6"/>
  <c r="U20" i="6"/>
  <c r="U17" i="6"/>
  <c r="U15" i="6"/>
  <c r="U11" i="6"/>
  <c r="U9" i="6"/>
  <c r="U6" i="6"/>
  <c r="U23" i="6"/>
  <c r="U21" i="6"/>
  <c r="U14" i="6"/>
  <c r="T23" i="6"/>
  <c r="T21" i="6"/>
  <c r="T18" i="6"/>
  <c r="T16" i="6"/>
  <c r="T14" i="6"/>
  <c r="T10" i="6"/>
  <c r="T7" i="6"/>
  <c r="T5" i="6"/>
  <c r="T24" i="6"/>
  <c r="T22" i="6"/>
  <c r="T20" i="6"/>
  <c r="T17" i="6"/>
  <c r="T15" i="6"/>
  <c r="T11" i="6"/>
  <c r="T9" i="6"/>
  <c r="T6" i="6"/>
  <c r="O29" i="3"/>
  <c r="P29" i="3"/>
  <c r="T12" i="6" l="1"/>
  <c r="U25" i="6"/>
  <c r="U29" i="6" s="1"/>
  <c r="R25" i="6"/>
  <c r="R29" i="6" s="1"/>
  <c r="R12" i="6"/>
  <c r="T25" i="6"/>
  <c r="T29" i="6" s="1"/>
  <c r="U12" i="6"/>
  <c r="S25" i="6"/>
  <c r="S29" i="6" s="1"/>
  <c r="S12" i="6"/>
  <c r="J27" i="5"/>
  <c r="J14" i="5"/>
  <c r="G12" i="4" l="1"/>
  <c r="G11" i="4"/>
  <c r="G10" i="4"/>
  <c r="G9" i="4"/>
  <c r="G8" i="4"/>
  <c r="C10" i="4"/>
  <c r="C9" i="4"/>
  <c r="E12" i="4"/>
  <c r="D12" i="4"/>
  <c r="E23" i="4"/>
  <c r="D23" i="4"/>
  <c r="C23" i="4"/>
  <c r="B23" i="4"/>
  <c r="C27" i="4" l="1"/>
  <c r="C29" i="4" s="1"/>
  <c r="C12" i="4"/>
  <c r="G12" i="5"/>
  <c r="J12" i="5" s="1"/>
  <c r="G9" i="5"/>
  <c r="G11" i="5"/>
  <c r="J11" i="5" s="1"/>
  <c r="G10" i="5"/>
  <c r="J10" i="5" s="1"/>
  <c r="G23" i="4"/>
  <c r="F17" i="5"/>
  <c r="F7" i="5"/>
  <c r="F20" i="5"/>
  <c r="F27" i="5"/>
  <c r="F16" i="5"/>
  <c r="F6" i="5"/>
  <c r="F22" i="5"/>
  <c r="F11" i="5"/>
  <c r="F10" i="5"/>
  <c r="F19" i="5"/>
  <c r="F8" i="5"/>
  <c r="F23" i="5"/>
  <c r="F15" i="5"/>
  <c r="F12" i="5"/>
  <c r="F18" i="5"/>
  <c r="F21" i="5"/>
  <c r="H12" i="5"/>
  <c r="H11" i="5"/>
  <c r="H10" i="5"/>
  <c r="H9" i="5"/>
  <c r="H13" i="5" l="1"/>
  <c r="J9" i="5"/>
  <c r="G13" i="5"/>
  <c r="J13" i="5" s="1"/>
  <c r="F25" i="5"/>
  <c r="F29" i="5" s="1"/>
  <c r="F13" i="5"/>
  <c r="L25" i="3" l="1"/>
  <c r="O22" i="6" s="1"/>
  <c r="K25" i="3"/>
  <c r="J25" i="3"/>
  <c r="I25" i="3"/>
  <c r="H25" i="3"/>
  <c r="L12" i="3"/>
  <c r="K12" i="3"/>
  <c r="F25" i="3"/>
  <c r="I22" i="6" s="1"/>
  <c r="E25" i="3"/>
  <c r="D25" i="3"/>
  <c r="C25" i="3"/>
  <c r="B25" i="3"/>
  <c r="M5" i="6" l="1"/>
  <c r="M18" i="6"/>
  <c r="G7" i="6"/>
  <c r="M19" i="6"/>
  <c r="L19" i="6"/>
  <c r="K19" i="6"/>
  <c r="F19" i="6"/>
  <c r="I19" i="6"/>
  <c r="N19" i="6"/>
  <c r="H19" i="6"/>
  <c r="G19" i="6"/>
  <c r="O19" i="6"/>
  <c r="E19" i="6"/>
  <c r="E22" i="6"/>
  <c r="F22" i="6"/>
  <c r="O8" i="6"/>
  <c r="O13" i="6"/>
  <c r="O9" i="6"/>
  <c r="O11" i="6"/>
  <c r="O10" i="6"/>
  <c r="N9" i="6"/>
  <c r="N13" i="6"/>
  <c r="N8" i="6"/>
  <c r="N11" i="6"/>
  <c r="N10" i="6"/>
  <c r="K23" i="6"/>
  <c r="O12" i="6" l="1"/>
  <c r="N12" i="6"/>
  <c r="N22" i="6"/>
  <c r="N7" i="6"/>
  <c r="N21" i="6"/>
  <c r="N6" i="6"/>
  <c r="N20" i="6"/>
  <c r="N17" i="6"/>
  <c r="N16" i="6"/>
  <c r="N23" i="6"/>
  <c r="N24" i="6"/>
  <c r="N15" i="6"/>
  <c r="M16" i="6"/>
  <c r="M24" i="6"/>
  <c r="M15" i="6"/>
  <c r="M6" i="6"/>
  <c r="M23" i="6"/>
  <c r="M22" i="6"/>
  <c r="M21" i="6"/>
  <c r="M20" i="6"/>
  <c r="K6" i="6"/>
  <c r="K22" i="6"/>
  <c r="O16" i="6"/>
  <c r="O24" i="6"/>
  <c r="O15" i="6"/>
  <c r="O23" i="6"/>
  <c r="O7" i="6"/>
  <c r="O21" i="6"/>
  <c r="O6" i="6"/>
  <c r="O17" i="6"/>
  <c r="O20" i="6"/>
  <c r="L22" i="6"/>
  <c r="O14" i="6"/>
  <c r="E7" i="5"/>
  <c r="H18" i="6"/>
  <c r="H5" i="6"/>
  <c r="H17" i="6"/>
  <c r="H16" i="6"/>
  <c r="H13" i="6"/>
  <c r="H7" i="6"/>
  <c r="H21" i="6"/>
  <c r="H6" i="6"/>
  <c r="H24" i="6"/>
  <c r="H23" i="6"/>
  <c r="H22" i="6"/>
  <c r="H20" i="6"/>
  <c r="K5" i="6"/>
  <c r="K16" i="6"/>
  <c r="M17" i="6"/>
  <c r="K24" i="6"/>
  <c r="K18" i="6"/>
  <c r="L16" i="6"/>
  <c r="K15" i="6"/>
  <c r="N14" i="6"/>
  <c r="K21" i="6"/>
  <c r="K7" i="6"/>
  <c r="K14" i="6"/>
  <c r="E22" i="5"/>
  <c r="E18" i="5"/>
  <c r="E23" i="5"/>
  <c r="K17" i="6"/>
  <c r="K20" i="6"/>
  <c r="G13" i="4"/>
  <c r="L20" i="6"/>
  <c r="L23" i="6"/>
  <c r="L14" i="6"/>
  <c r="L17" i="6"/>
  <c r="L6" i="6"/>
  <c r="M7" i="6"/>
  <c r="L15" i="6"/>
  <c r="L21" i="6"/>
  <c r="L7" i="6"/>
  <c r="G16" i="5" l="1"/>
  <c r="J16" i="5" s="1"/>
  <c r="G15" i="4"/>
  <c r="G6" i="5"/>
  <c r="G5" i="4"/>
  <c r="D29" i="4"/>
  <c r="L5" i="6"/>
  <c r="J27" i="3"/>
  <c r="J29" i="3" s="1"/>
  <c r="G8" i="5"/>
  <c r="J8" i="5" s="1"/>
  <c r="G7" i="4"/>
  <c r="G21" i="5"/>
  <c r="J21" i="5" s="1"/>
  <c r="G20" i="4"/>
  <c r="L18" i="6"/>
  <c r="N5" i="6"/>
  <c r="G19" i="5"/>
  <c r="J19" i="5" s="1"/>
  <c r="G18" i="4"/>
  <c r="L24" i="6"/>
  <c r="O5" i="6"/>
  <c r="L27" i="3"/>
  <c r="L29" i="3" s="1"/>
  <c r="G17" i="5"/>
  <c r="J17" i="5" s="1"/>
  <c r="G16" i="4"/>
  <c r="G18" i="5"/>
  <c r="J18" i="5" s="1"/>
  <c r="G17" i="4"/>
  <c r="G22" i="5"/>
  <c r="J22" i="5" s="1"/>
  <c r="G21" i="4"/>
  <c r="N18" i="6"/>
  <c r="O18" i="6"/>
  <c r="M13" i="6"/>
  <c r="M9" i="6"/>
  <c r="M11" i="6"/>
  <c r="M10" i="6"/>
  <c r="K11" i="6"/>
  <c r="K10" i="6"/>
  <c r="K9" i="6"/>
  <c r="G7" i="5"/>
  <c r="J7" i="5" s="1"/>
  <c r="G6" i="4"/>
  <c r="G20" i="5"/>
  <c r="J20" i="5" s="1"/>
  <c r="G19" i="4"/>
  <c r="J15" i="5"/>
  <c r="G14" i="4"/>
  <c r="G23" i="5"/>
  <c r="J23" i="5" s="1"/>
  <c r="G22" i="4"/>
  <c r="G16" i="6"/>
  <c r="G24" i="6"/>
  <c r="G15" i="6"/>
  <c r="G23" i="6"/>
  <c r="G6" i="6"/>
  <c r="G22" i="6"/>
  <c r="G21" i="6"/>
  <c r="G17" i="6"/>
  <c r="G20" i="6"/>
  <c r="G18" i="6"/>
  <c r="G13" i="6"/>
  <c r="E27" i="3"/>
  <c r="E29" i="3" s="1"/>
  <c r="H27" i="3"/>
  <c r="H29" i="3" s="1"/>
  <c r="E24" i="6"/>
  <c r="E7" i="6"/>
  <c r="E23" i="6"/>
  <c r="E6" i="6"/>
  <c r="E21" i="6"/>
  <c r="E5" i="6"/>
  <c r="E20" i="6"/>
  <c r="E18" i="6"/>
  <c r="E16" i="6"/>
  <c r="E17" i="6"/>
  <c r="E15" i="6"/>
  <c r="E14" i="6"/>
  <c r="I17" i="6"/>
  <c r="I7" i="6"/>
  <c r="I16" i="6"/>
  <c r="I6" i="6"/>
  <c r="I14" i="6"/>
  <c r="I15" i="6"/>
  <c r="I5" i="6"/>
  <c r="I13" i="6"/>
  <c r="I21" i="6"/>
  <c r="I18" i="6"/>
  <c r="I24" i="6"/>
  <c r="I23" i="6"/>
  <c r="I20" i="6"/>
  <c r="H10" i="6"/>
  <c r="H11" i="6"/>
  <c r="H8" i="6"/>
  <c r="H9" i="6"/>
  <c r="E16" i="5"/>
  <c r="E8" i="5"/>
  <c r="E21" i="5"/>
  <c r="E15" i="5"/>
  <c r="E19" i="5"/>
  <c r="E20" i="5"/>
  <c r="E17" i="5"/>
  <c r="G27" i="4" l="1"/>
  <c r="G29" i="4" s="1"/>
  <c r="H25" i="6"/>
  <c r="H29" i="6" s="1"/>
  <c r="O25" i="6"/>
  <c r="O29" i="6" s="1"/>
  <c r="L11" i="6"/>
  <c r="L10" i="6"/>
  <c r="L9" i="6"/>
  <c r="J12" i="3"/>
  <c r="M8" i="6"/>
  <c r="M12" i="6" s="1"/>
  <c r="H12" i="3"/>
  <c r="D27" i="3"/>
  <c r="D29" i="3" s="1"/>
  <c r="G5" i="6"/>
  <c r="K27" i="3"/>
  <c r="K29" i="3" s="1"/>
  <c r="J6" i="5"/>
  <c r="G25" i="5"/>
  <c r="E6" i="5"/>
  <c r="H12" i="6"/>
  <c r="N25" i="6"/>
  <c r="N29" i="6" s="1"/>
  <c r="I27" i="3"/>
  <c r="I29" i="3" s="1"/>
  <c r="I11" i="6"/>
  <c r="I10" i="6"/>
  <c r="I9" i="6"/>
  <c r="I8" i="6"/>
  <c r="F27" i="3"/>
  <c r="F29" i="3" s="1"/>
  <c r="G9" i="6"/>
  <c r="G8" i="6"/>
  <c r="G11" i="6"/>
  <c r="G10" i="6"/>
  <c r="B27" i="3"/>
  <c r="B29" i="3" s="1"/>
  <c r="F18" i="6"/>
  <c r="F17" i="6"/>
  <c r="F16" i="6"/>
  <c r="F15" i="6"/>
  <c r="F7" i="6"/>
  <c r="F21" i="6"/>
  <c r="F20" i="6"/>
  <c r="F5" i="6"/>
  <c r="F24" i="6"/>
  <c r="F23" i="6"/>
  <c r="F6" i="6"/>
  <c r="E10" i="6"/>
  <c r="E9" i="6"/>
  <c r="E11" i="6"/>
  <c r="E12" i="3"/>
  <c r="E25" i="6" l="1"/>
  <c r="E29" i="6" s="1"/>
  <c r="G25" i="6"/>
  <c r="G29" i="6" s="1"/>
  <c r="E12" i="6"/>
  <c r="I12" i="6"/>
  <c r="E12" i="5"/>
  <c r="E10" i="5"/>
  <c r="I12" i="3"/>
  <c r="G29" i="5"/>
  <c r="J29" i="5" s="1"/>
  <c r="J25" i="5"/>
  <c r="K12" i="6"/>
  <c r="K25" i="6"/>
  <c r="K29" i="6" s="1"/>
  <c r="G12" i="6"/>
  <c r="M25" i="6"/>
  <c r="M29" i="6" s="1"/>
  <c r="I25" i="6"/>
  <c r="I29" i="6" s="1"/>
  <c r="D12" i="3"/>
  <c r="C27" i="3"/>
  <c r="C29" i="3" s="1"/>
  <c r="F10" i="6"/>
  <c r="F9" i="6"/>
  <c r="F11" i="6"/>
  <c r="B12" i="3"/>
  <c r="F12" i="3"/>
  <c r="E11" i="5" l="1"/>
  <c r="B27" i="4"/>
  <c r="B29" i="4" s="1"/>
  <c r="F12" i="6"/>
  <c r="F25" i="6"/>
  <c r="F29" i="6" s="1"/>
  <c r="L12" i="6"/>
  <c r="L25" i="6"/>
  <c r="L29" i="6" s="1"/>
  <c r="B12" i="4"/>
  <c r="C12" i="3"/>
  <c r="H16" i="5"/>
  <c r="H7" i="5"/>
  <c r="H17" i="5"/>
  <c r="H8" i="5"/>
  <c r="H18" i="5"/>
  <c r="H19" i="5"/>
  <c r="H21" i="5"/>
  <c r="H20" i="5"/>
  <c r="H23" i="5"/>
  <c r="H15" i="5"/>
  <c r="H6" i="5" l="1"/>
  <c r="H25" i="5" s="1"/>
  <c r="H29" i="5" s="1"/>
  <c r="E29" i="4"/>
  <c r="E25" i="5"/>
  <c r="E29" i="5" s="1"/>
  <c r="E13" i="5"/>
</calcChain>
</file>

<file path=xl/sharedStrings.xml><?xml version="1.0" encoding="utf-8"?>
<sst xmlns="http://schemas.openxmlformats.org/spreadsheetml/2006/main" count="612" uniqueCount="270">
  <si>
    <t>The Ohio State University</t>
  </si>
  <si>
    <t>Summary of Projected Benefit Costs</t>
  </si>
  <si>
    <t>by Rate Group</t>
  </si>
  <si>
    <t>PD Fellows</t>
  </si>
  <si>
    <t>Mapped to Rate 2</t>
  </si>
  <si>
    <t>% Change</t>
  </si>
  <si>
    <t>for 20-21 Rates</t>
  </si>
  <si>
    <t>Faculty</t>
  </si>
  <si>
    <t>Classified Civil Service</t>
  </si>
  <si>
    <t>Specials</t>
  </si>
  <si>
    <t>Students</t>
  </si>
  <si>
    <t>Grad Assistants</t>
  </si>
  <si>
    <t>Totals</t>
  </si>
  <si>
    <t>Primary</t>
  </si>
  <si>
    <t>% Rate/</t>
  </si>
  <si>
    <t>Rate 1</t>
  </si>
  <si>
    <t>Rate 11</t>
  </si>
  <si>
    <t>Rate 2</t>
  </si>
  <si>
    <t>Rate 3</t>
  </si>
  <si>
    <t>Rate 13</t>
  </si>
  <si>
    <t>Rate 4</t>
  </si>
  <si>
    <t>Rate 14</t>
  </si>
  <si>
    <t>Rate 5</t>
  </si>
  <si>
    <t>Rate 15</t>
  </si>
  <si>
    <t>Rate 6</t>
  </si>
  <si>
    <t>Rate 16</t>
  </si>
  <si>
    <t>Rate 7</t>
  </si>
  <si>
    <t>Rate 17</t>
  </si>
  <si>
    <t>Cost Driver</t>
  </si>
  <si>
    <t>Cost per Head</t>
  </si>
  <si>
    <t>UNIV/OSP</t>
  </si>
  <si>
    <t>Health System</t>
  </si>
  <si>
    <t>UNIV/RF</t>
  </si>
  <si>
    <t>Group Practice</t>
  </si>
  <si>
    <t>Projected Salary</t>
  </si>
  <si>
    <t>Headcount (benefit-eligible FTE)</t>
  </si>
  <si>
    <t>HR Projected Costs</t>
  </si>
  <si>
    <t>Difference</t>
  </si>
  <si>
    <t>STRS</t>
  </si>
  <si>
    <t>Salary $</t>
  </si>
  <si>
    <t>PERS</t>
  </si>
  <si>
    <t>Medicare</t>
  </si>
  <si>
    <t>Group Life</t>
  </si>
  <si>
    <t>Disability</t>
  </si>
  <si>
    <t>Unemployment Comp</t>
  </si>
  <si>
    <t>Workers Comp-UNIV/RF</t>
  </si>
  <si>
    <t>Workers Comp-Health System</t>
  </si>
  <si>
    <t>Other Benefit Admin Costs</t>
  </si>
  <si>
    <t>Student Insurance</t>
  </si>
  <si>
    <t>Medical Plans</t>
  </si>
  <si>
    <t>Headcount</t>
  </si>
  <si>
    <t>Affordable Care Act Fees</t>
  </si>
  <si>
    <t>Vision</t>
  </si>
  <si>
    <t>Dental</t>
  </si>
  <si>
    <t>Employee Tuition</t>
  </si>
  <si>
    <t>Dependent Tuition (UNIV-HS only)</t>
  </si>
  <si>
    <t>Total Projected Benefit Costs</t>
  </si>
  <si>
    <t>Projected Rates (excluding Stabilization DR/CR)</t>
  </si>
  <si>
    <t>Total Projected Benefit Costs - UNIV only</t>
  </si>
  <si>
    <t>Total Projected Salary/Wages - UNIV only</t>
  </si>
  <si>
    <t>Projected Combined Staff Rate (Unclassified and CCS)</t>
  </si>
  <si>
    <t>Projected Benefit Costs - RF Only:</t>
  </si>
  <si>
    <t>(UNIV/RF break-out by % of Projected Salary for Rates 1-4)</t>
  </si>
  <si>
    <t>(see below for Rate 5 % calc…)</t>
  </si>
  <si>
    <t>Combined 5/6/7</t>
  </si>
  <si>
    <t>COBRA Admin/Other Admin Costs</t>
  </si>
  <si>
    <t>NOTE: No dependent tuition costs included in RF rates</t>
  </si>
  <si>
    <t>Total Projected Benefit Costs (excluding add-ons)</t>
  </si>
  <si>
    <t>Total Projected RF Salary/Wages</t>
  </si>
  <si>
    <t>Rate 5 - Student/Grad/Fellow Weighted Average:</t>
  </si>
  <si>
    <t>Projected UNIV</t>
  </si>
  <si>
    <t>Total Projected</t>
  </si>
  <si>
    <t>Projected</t>
  </si>
  <si>
    <t>RF Projected</t>
  </si>
  <si>
    <t>Salary</t>
  </si>
  <si>
    <t>UNIV Benefit</t>
  </si>
  <si>
    <t>Benefit Cost</t>
  </si>
  <si>
    <t>Benefit</t>
  </si>
  <si>
    <t>RF Salary</t>
  </si>
  <si>
    <t>(incl. RF)</t>
  </si>
  <si>
    <t>Costs (incl. RF)</t>
  </si>
  <si>
    <t>per $ of Salary</t>
  </si>
  <si>
    <t>Costs</t>
  </si>
  <si>
    <t>% for Proration</t>
  </si>
  <si>
    <t>Students (undergrads) and Fellows</t>
  </si>
  <si>
    <t>Graduate Assistants</t>
  </si>
  <si>
    <t xml:space="preserve">    Total for RF Rate 5</t>
  </si>
  <si>
    <t>University</t>
  </si>
  <si>
    <t>Rate 2/3</t>
  </si>
  <si>
    <t>Hlth Syst</t>
  </si>
  <si>
    <t>OSP</t>
  </si>
  <si>
    <t>FGP</t>
  </si>
  <si>
    <t>RCP10</t>
  </si>
  <si>
    <t>RCP15</t>
  </si>
  <si>
    <t>RCP25</t>
  </si>
  <si>
    <t>RCP STRS/ARP/NewHire</t>
  </si>
  <si>
    <t>MEDICARE</t>
  </si>
  <si>
    <t>Prime Care Advantage</t>
  </si>
  <si>
    <t>Prime Care Choice</t>
  </si>
  <si>
    <t>Out-Of-Area Plan</t>
  </si>
  <si>
    <t>Prime Care Connect</t>
  </si>
  <si>
    <t>Subtotal</t>
  </si>
  <si>
    <t>MEDICAL</t>
  </si>
  <si>
    <t>Benefit Admin</t>
  </si>
  <si>
    <t>GROUP LIFE</t>
  </si>
  <si>
    <t>LT DISABILITY</t>
  </si>
  <si>
    <t>UNEMPLOYMENT COMP.</t>
  </si>
  <si>
    <t>WORKERS COMP</t>
  </si>
  <si>
    <t>GROUP VISION</t>
  </si>
  <si>
    <t>GROUP DENTAL</t>
  </si>
  <si>
    <t>GA Hlth Ins Subsidy</t>
  </si>
  <si>
    <t>EMPLOYEE TUITION</t>
  </si>
  <si>
    <t>DEPENDENT TUITION</t>
  </si>
  <si>
    <t>PUBLISHED RATE</t>
  </si>
  <si>
    <t>Rate</t>
  </si>
  <si>
    <t>Staff Comb</t>
  </si>
  <si>
    <t>Student</t>
  </si>
  <si>
    <t>GA</t>
  </si>
  <si>
    <t>Univ</t>
  </si>
  <si>
    <t>Student/GA</t>
  </si>
  <si>
    <t>Vacation/Sick</t>
  </si>
  <si>
    <t>In RCP</t>
  </si>
  <si>
    <t xml:space="preserve">  Subtotal - Base Rates (excluding RF add-ons)</t>
  </si>
  <si>
    <t>Add: Vac/Sick Termination Payments</t>
  </si>
  <si>
    <t xml:space="preserve">  Total Negotiated RF Fringe Rates</t>
  </si>
  <si>
    <t>Workers Comp</t>
  </si>
  <si>
    <t>Admin</t>
  </si>
  <si>
    <t>PJ106341</t>
  </si>
  <si>
    <t>PJ106284</t>
  </si>
  <si>
    <t>PJ106305</t>
  </si>
  <si>
    <t>PJ106410</t>
  </si>
  <si>
    <t>PJ106408</t>
  </si>
  <si>
    <t>PJ106421</t>
  </si>
  <si>
    <t>PJ106420</t>
  </si>
  <si>
    <t>PJ106432</t>
  </si>
  <si>
    <t>PJ106406</t>
  </si>
  <si>
    <t>PJ106309</t>
  </si>
  <si>
    <t>PJ106419</t>
  </si>
  <si>
    <t>PJ106422</t>
  </si>
  <si>
    <t>PJ106414</t>
  </si>
  <si>
    <t>PJ106401</t>
  </si>
  <si>
    <t>PJ106403</t>
  </si>
  <si>
    <t>PJ106400</t>
  </si>
  <si>
    <t>PJ106386</t>
  </si>
  <si>
    <t>TOTAL</t>
  </si>
  <si>
    <t>Check</t>
  </si>
  <si>
    <t>PJ106405</t>
  </si>
  <si>
    <t>RCP</t>
  </si>
  <si>
    <t>STRS/ARP</t>
  </si>
  <si>
    <t>Newhire</t>
  </si>
  <si>
    <t>PJ108393</t>
  </si>
  <si>
    <t>Name</t>
  </si>
  <si>
    <t>Fund</t>
  </si>
  <si>
    <t>Balancing Unit</t>
  </si>
  <si>
    <t>Project</t>
  </si>
  <si>
    <t>FD111 Designated Other Fund</t>
  </si>
  <si>
    <t>BL1210 General University | OHR Benefits</t>
  </si>
  <si>
    <t>BL1221 General University | Office of Sponsored Programs (OSP)</t>
  </si>
  <si>
    <t>Salary Spend Cat</t>
  </si>
  <si>
    <t>Sal Spend Cat Description</t>
  </si>
  <si>
    <t>SC10007</t>
  </si>
  <si>
    <t>Salaries | 9 month | Faculty Base | Clinical Track | Regular &gt;=50% (SC10007)</t>
  </si>
  <si>
    <t>SC10021</t>
  </si>
  <si>
    <t>Salaries | 9 month | Faculty Base |Research Track | Regular &gt;=50% (SC10021)</t>
  </si>
  <si>
    <t>SC10024</t>
  </si>
  <si>
    <t>Salaries | 9 month | Faculty Base | Tenure Track | Regular &gt;=50% (SC10024)</t>
  </si>
  <si>
    <t>SC10006</t>
  </si>
  <si>
    <t>Salaries | 12 month | Faculty Base | Clinical Track | Regular &gt;=50% (SC10006)</t>
  </si>
  <si>
    <t>SC10020</t>
  </si>
  <si>
    <t>Salaries | 12 month | Faculty Base | Research Track | Regular &gt;=50% (SC10020)</t>
  </si>
  <si>
    <t>SC10022</t>
  </si>
  <si>
    <t>Salaries | 12 month | Faculty Base | Tenure Track | Regular &gt;=50% (SC10022)</t>
  </si>
  <si>
    <t>SC10005</t>
  </si>
  <si>
    <t>Salaries | Clinical Instructor Base Health System | Regular or Term and &gt;=50% (SC10005)</t>
  </si>
  <si>
    <t>SC10010</t>
  </si>
  <si>
    <t>Salaries | Faculty Base |Term or Lecturers and &gt;=50% (SC10010)</t>
  </si>
  <si>
    <t>SC10001</t>
  </si>
  <si>
    <t>Salaries | Classified Civil Service Base | Regular &gt;=50% (SC10001)</t>
  </si>
  <si>
    <t>SC10008</t>
  </si>
  <si>
    <t>Salaries | Administrative Faculty Appointments Base | &gt;=50% (SC10008)</t>
  </si>
  <si>
    <t>SC10053</t>
  </si>
  <si>
    <t>Salaries | Unclassified Base | Regular &gt;=50% (SC10053)</t>
  </si>
  <si>
    <t>SC10056</t>
  </si>
  <si>
    <t>Salaries | Unclassified Base | Term &gt;=50% (SC10056)</t>
  </si>
  <si>
    <t>SC10057</t>
  </si>
  <si>
    <t>Salaries | Unclassified Base | Post Doctoral Scholar Base | Term &gt;=50% (SC10057)</t>
  </si>
  <si>
    <t>SC10004</t>
  </si>
  <si>
    <t>Salaries | Clinical Instructor Base Health System | Temporary &lt;50% (SC10004)</t>
  </si>
  <si>
    <t>SC10011</t>
  </si>
  <si>
    <t>Salaries | Faculty Base |  &lt;50% OR Temporary (SC10011)</t>
  </si>
  <si>
    <t>SC10002</t>
  </si>
  <si>
    <t>Salaries | Classified Civil Service Base | Regular &lt;50% OR Temporary (SC10002)</t>
  </si>
  <si>
    <t>SC10009</t>
  </si>
  <si>
    <t>Salaries | Administrative Faculty Appointments Base | &lt;50% (SC10009)</t>
  </si>
  <si>
    <t>SC10052</t>
  </si>
  <si>
    <t>Salaries | Unclassified Base | &lt; 50% OR Temporary (SC10052)</t>
  </si>
  <si>
    <t>SC10031</t>
  </si>
  <si>
    <t>Salaries | Student Non-FWS Biweekly Base | Underenrolled or Non OSU Student (SC10031)</t>
  </si>
  <si>
    <t>SC10049</t>
  </si>
  <si>
    <t>Salaries | Additional Pay with Retirement (SC10049)</t>
  </si>
  <si>
    <t>SC10050</t>
  </si>
  <si>
    <t>Salaries | Faculty Off Duty Pay (SC10050)</t>
  </si>
  <si>
    <t>SC10874</t>
  </si>
  <si>
    <t>Salaries | Compensatory Time Payout Current Year (SC10874)</t>
  </si>
  <si>
    <t>SC10003</t>
  </si>
  <si>
    <t>Salaries | Classified Civil Service Overtime (SC10003)</t>
  </si>
  <si>
    <t>SC10054</t>
  </si>
  <si>
    <t>Salaries | Unclassified Overtime (SC10054)</t>
  </si>
  <si>
    <t>SC10029</t>
  </si>
  <si>
    <t>Salaries | Student FWS Biweekly Base (SC10029)</t>
  </si>
  <si>
    <t>SC10030</t>
  </si>
  <si>
    <t>Salaries | Student Non-FWS Biweekly Base| Enrolled (SC10030)</t>
  </si>
  <si>
    <t>SC10032</t>
  </si>
  <si>
    <t>Salaries | Student Overtime (SC10032)</t>
  </si>
  <si>
    <t>SC10045</t>
  </si>
  <si>
    <t>Salaries | Additional Pay without Retirement (SC10045)</t>
  </si>
  <si>
    <t>SC10046</t>
  </si>
  <si>
    <t>Salaries | Retirement Incentive (SC10046)</t>
  </si>
  <si>
    <t>SC10875</t>
  </si>
  <si>
    <t>Salaries | Compensatory Time Payout Previous Year (SC10875)</t>
  </si>
  <si>
    <t>SC10026</t>
  </si>
  <si>
    <t>Salaries | Graduate Administrative Associate (SC10026)</t>
  </si>
  <si>
    <t>SC10027</t>
  </si>
  <si>
    <t>Salaries | Graduate Research Associate (SC10027)</t>
  </si>
  <si>
    <t>SC10028</t>
  </si>
  <si>
    <t>Salaries | Graduate Teaching Associate (SC10028)</t>
  </si>
  <si>
    <t>SC10373</t>
  </si>
  <si>
    <t>Student Fellowships (SC10373)</t>
  </si>
  <si>
    <t>NCH</t>
  </si>
  <si>
    <t>SC10025</t>
  </si>
  <si>
    <t>Salaries | 9 month | Faculty Base |Nationwide Children's Hospital (SC10025)</t>
  </si>
  <si>
    <t>SC10023</t>
  </si>
  <si>
    <t>Salaries | 12 month | Faculty Base | Nationwide Children's Hospital (SC10023)</t>
  </si>
  <si>
    <t>FGP (New Hires/STRS/Formely SCN)</t>
  </si>
  <si>
    <t>SC10012</t>
  </si>
  <si>
    <t>Salaries | FGP Base Base New Hires (SC10012)</t>
  </si>
  <si>
    <t>SC10019</t>
  </si>
  <si>
    <t>Salaries | FGP Base subject to STRS/ARP (SC10019)</t>
  </si>
  <si>
    <t>SC10014</t>
  </si>
  <si>
    <t>Salaries | FGP Base Formerly Specialty Care Network (SC10014)</t>
  </si>
  <si>
    <t>FGP Rate 10</t>
  </si>
  <si>
    <t>SC10013</t>
  </si>
  <si>
    <t>Salaries | FGP Base subject to RCP10 (SC10013)</t>
  </si>
  <si>
    <t>FGP Rate 15</t>
  </si>
  <si>
    <t>SC10015</t>
  </si>
  <si>
    <t>Salaries | FGP Base subject to RCP15 (SC10015)</t>
  </si>
  <si>
    <t>FGP Rate 25</t>
  </si>
  <si>
    <t>SC10017</t>
  </si>
  <si>
    <t>Salaries | FGP Base subject to RCP25 (SC10017)</t>
  </si>
  <si>
    <t>UNIV</t>
  </si>
  <si>
    <t>OSUHS</t>
  </si>
  <si>
    <t>Univ/OSUHS</t>
  </si>
  <si>
    <t>Combined Staff</t>
  </si>
  <si>
    <t>Rate 12/13</t>
  </si>
  <si>
    <t>HR projection includes ACA consulting</t>
  </si>
  <si>
    <t>Lifestyle Benefit</t>
  </si>
  <si>
    <t>LIFESTYLE BENEFIT</t>
  </si>
  <si>
    <t>PJ113341</t>
  </si>
  <si>
    <t>FY2024 Projected Wages</t>
  </si>
  <si>
    <t xml:space="preserve">  % Difference</t>
  </si>
  <si>
    <t xml:space="preserve"> $ Difference</t>
  </si>
  <si>
    <t>FY25 Projected Wages, less 3% AMCP</t>
  </si>
  <si>
    <t>FY24 Projected Wages</t>
  </si>
  <si>
    <t>FY25 Projected Wages</t>
  </si>
  <si>
    <t>FY24 Projected Wages incremented for 3% AMCP</t>
  </si>
  <si>
    <t>Total</t>
  </si>
  <si>
    <t>Comparison of Full Benefit-Eligible Wage Bases (FY24 Proj vs FY25 Proj)</t>
  </si>
  <si>
    <t>Proj Avg Sal per FTE -FY26</t>
  </si>
  <si>
    <t>Proj Avg Sal per FTE -FY25</t>
  </si>
  <si>
    <t>Salary Year or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</si>
</sst>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b/>
      <sz val="11"/>
      <color theme="1"/>
      <name val="Calibri"/>
      <family val="2"/>
      <scheme val="minor"/>
    </font>
    <font>
      <sz val="10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1" applyNumberFormat="1" applyFont="1"/>
    <xf numFmtId="165" fontId="0" fillId="0" borderId="0" xfId="3" applyNumberFormat="1" applyFont="1"/>
    <xf numFmtId="166" fontId="0" fillId="0" borderId="0" xfId="2" applyNumberFormat="1" applyFont="1"/>
    <xf numFmtId="164" fontId="0" fillId="0" borderId="6" xfId="1" applyNumberFormat="1" applyFont="1" applyBorder="1"/>
    <xf numFmtId="164" fontId="0" fillId="0" borderId="0" xfId="1" applyNumberFormat="1" applyFont="1" applyBorder="1"/>
    <xf numFmtId="165" fontId="1" fillId="0" borderId="0" xfId="3" applyNumberFormat="1" applyFont="1" applyBorder="1"/>
    <xf numFmtId="165" fontId="0" fillId="0" borderId="0" xfId="3" applyNumberFormat="1" applyFont="1" applyBorder="1"/>
    <xf numFmtId="165" fontId="1" fillId="0" borderId="4" xfId="3" applyNumberFormat="1" applyFont="1" applyBorder="1"/>
    <xf numFmtId="165" fontId="1" fillId="0" borderId="0" xfId="3" applyNumberFormat="1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10" fontId="0" fillId="0" borderId="4" xfId="3" applyNumberFormat="1" applyFont="1" applyBorder="1" applyAlignment="1">
      <alignment horizontal="center"/>
    </xf>
    <xf numFmtId="164" fontId="0" fillId="0" borderId="7" xfId="1" applyNumberFormat="1" applyFont="1" applyBorder="1"/>
    <xf numFmtId="43" fontId="0" fillId="0" borderId="0" xfId="1" applyFont="1"/>
    <xf numFmtId="164" fontId="0" fillId="0" borderId="5" xfId="1" applyNumberFormat="1" applyFont="1" applyBorder="1"/>
    <xf numFmtId="164" fontId="0" fillId="0" borderId="4" xfId="1" applyNumberFormat="1" applyFont="1" applyBorder="1"/>
    <xf numFmtId="10" fontId="0" fillId="0" borderId="4" xfId="3" applyNumberFormat="1" applyFont="1" applyBorder="1"/>
    <xf numFmtId="0" fontId="3" fillId="0" borderId="8" xfId="0" applyFont="1" applyBorder="1"/>
    <xf numFmtId="0" fontId="3" fillId="0" borderId="9" xfId="0" applyFont="1" applyBorder="1"/>
    <xf numFmtId="0" fontId="4" fillId="4" borderId="10" xfId="0" applyFont="1" applyFill="1" applyBorder="1"/>
    <xf numFmtId="0" fontId="3" fillId="0" borderId="0" xfId="0" applyFont="1"/>
    <xf numFmtId="0" fontId="4" fillId="4" borderId="4" xfId="0" applyFont="1" applyFill="1" applyBorder="1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165" fontId="0" fillId="0" borderId="0" xfId="0" applyNumberFormat="1"/>
    <xf numFmtId="0" fontId="2" fillId="0" borderId="0" xfId="4"/>
    <xf numFmtId="0" fontId="2" fillId="0" borderId="0" xfId="4" quotePrefix="1"/>
    <xf numFmtId="165" fontId="0" fillId="5" borderId="0" xfId="3" applyNumberFormat="1" applyFont="1" applyFill="1"/>
    <xf numFmtId="0" fontId="0" fillId="5" borderId="0" xfId="0" applyFill="1"/>
    <xf numFmtId="0" fontId="3" fillId="5" borderId="0" xfId="0" applyFont="1" applyFill="1"/>
    <xf numFmtId="0" fontId="2" fillId="5" borderId="0" xfId="4" applyFill="1"/>
    <xf numFmtId="0" fontId="2" fillId="5" borderId="0" xfId="4" quotePrefix="1" applyFill="1"/>
    <xf numFmtId="0" fontId="4" fillId="0" borderId="0" xfId="0" applyFont="1"/>
    <xf numFmtId="0" fontId="4" fillId="0" borderId="4" xfId="0" applyFont="1" applyBorder="1"/>
    <xf numFmtId="165" fontId="0" fillId="0" borderId="4" xfId="3" applyNumberFormat="1" applyFont="1" applyBorder="1"/>
    <xf numFmtId="0" fontId="1" fillId="0" borderId="0" xfId="4" applyFont="1"/>
    <xf numFmtId="0" fontId="2" fillId="0" borderId="0" xfId="4" applyAlignment="1">
      <alignment wrapText="1"/>
    </xf>
    <xf numFmtId="0" fontId="1" fillId="0" borderId="0" xfId="4" applyFont="1" applyAlignment="1">
      <alignment wrapText="1"/>
    </xf>
    <xf numFmtId="0" fontId="2" fillId="0" borderId="0" xfId="4" applyAlignment="1">
      <alignment horizontal="center" wrapText="1"/>
    </xf>
    <xf numFmtId="0" fontId="1" fillId="0" borderId="0" xfId="4" applyFont="1" applyAlignment="1">
      <alignment horizontal="center" wrapText="1"/>
    </xf>
    <xf numFmtId="165" fontId="0" fillId="0" borderId="0" xfId="3" applyNumberFormat="1" applyFont="1" applyAlignment="1">
      <alignment horizontal="center"/>
    </xf>
    <xf numFmtId="165" fontId="2" fillId="0" borderId="0" xfId="3" applyNumberFormat="1" applyFont="1"/>
    <xf numFmtId="0" fontId="2" fillId="0" borderId="0" xfId="0" applyFont="1" applyAlignment="1">
      <alignment horizontal="right"/>
    </xf>
    <xf numFmtId="0" fontId="6" fillId="0" borderId="0" xfId="5" applyAlignment="1">
      <alignment horizontal="center" wrapText="1"/>
    </xf>
    <xf numFmtId="0" fontId="1" fillId="0" borderId="11" xfId="4" applyFont="1" applyBorder="1"/>
    <xf numFmtId="0" fontId="2" fillId="0" borderId="12" xfId="4" applyBorder="1" applyAlignment="1">
      <alignment horizontal="center" wrapText="1"/>
    </xf>
    <xf numFmtId="0" fontId="2" fillId="0" borderId="12" xfId="4" applyBorder="1" applyAlignment="1">
      <alignment wrapText="1"/>
    </xf>
    <xf numFmtId="0" fontId="2" fillId="0" borderId="13" xfId="4" applyBorder="1"/>
    <xf numFmtId="0" fontId="2" fillId="0" borderId="14" xfId="4" applyBorder="1"/>
    <xf numFmtId="0" fontId="6" fillId="0" borderId="15" xfId="5" applyBorder="1" applyAlignment="1">
      <alignment horizontal="center" wrapText="1"/>
    </xf>
    <xf numFmtId="0" fontId="2" fillId="0" borderId="15" xfId="4" applyBorder="1" applyAlignment="1">
      <alignment wrapText="1"/>
    </xf>
    <xf numFmtId="0" fontId="5" fillId="0" borderId="11" xfId="4" applyFont="1" applyBorder="1"/>
    <xf numFmtId="0" fontId="5" fillId="0" borderId="16" xfId="4" applyFont="1" applyBorder="1"/>
    <xf numFmtId="0" fontId="2" fillId="0" borderId="17" xfId="4" applyBorder="1" applyAlignment="1">
      <alignment horizontal="center" wrapText="1"/>
    </xf>
    <xf numFmtId="0" fontId="2" fillId="0" borderId="17" xfId="4" applyBorder="1" applyAlignment="1">
      <alignment wrapText="1"/>
    </xf>
    <xf numFmtId="0" fontId="1" fillId="0" borderId="16" xfId="4" applyFont="1" applyBorder="1"/>
    <xf numFmtId="165" fontId="1" fillId="0" borderId="20" xfId="3" applyNumberFormat="1" applyFont="1" applyBorder="1" applyAlignment="1">
      <alignment horizontal="center"/>
    </xf>
    <xf numFmtId="165" fontId="0" fillId="0" borderId="20" xfId="3" applyNumberFormat="1" applyFont="1" applyBorder="1" applyAlignment="1">
      <alignment horizontal="center"/>
    </xf>
    <xf numFmtId="165" fontId="0" fillId="0" borderId="21" xfId="3" applyNumberFormat="1" applyFont="1" applyBorder="1" applyAlignment="1">
      <alignment horizontal="center"/>
    </xf>
    <xf numFmtId="165" fontId="0" fillId="0" borderId="22" xfId="3" applyNumberFormat="1" applyFont="1" applyBorder="1" applyAlignment="1">
      <alignment horizontal="center"/>
    </xf>
    <xf numFmtId="165" fontId="0" fillId="0" borderId="19" xfId="3" applyNumberFormat="1" applyFont="1" applyBorder="1" applyAlignment="1">
      <alignment horizontal="center"/>
    </xf>
    <xf numFmtId="165" fontId="1" fillId="0" borderId="16" xfId="3" applyNumberFormat="1" applyFont="1" applyBorder="1" applyAlignment="1">
      <alignment horizontal="centerContinuous"/>
    </xf>
    <xf numFmtId="165" fontId="1" fillId="0" borderId="17" xfId="3" applyNumberFormat="1" applyFont="1" applyBorder="1" applyAlignment="1">
      <alignment horizontal="centerContinuous"/>
    </xf>
    <xf numFmtId="165" fontId="1" fillId="0" borderId="18" xfId="3" applyNumberFormat="1" applyFont="1" applyFill="1" applyBorder="1" applyAlignment="1">
      <alignment horizontal="centerContinuous"/>
    </xf>
    <xf numFmtId="165" fontId="1" fillId="0" borderId="20" xfId="3" applyNumberFormat="1" applyFont="1" applyFill="1" applyBorder="1" applyAlignment="1">
      <alignment horizontal="center"/>
    </xf>
    <xf numFmtId="165" fontId="0" fillId="0" borderId="20" xfId="3" applyNumberFormat="1" applyFont="1" applyFill="1" applyBorder="1" applyAlignment="1">
      <alignment horizontal="center"/>
    </xf>
    <xf numFmtId="165" fontId="0" fillId="0" borderId="21" xfId="3" applyNumberFormat="1" applyFont="1" applyFill="1" applyBorder="1" applyAlignment="1">
      <alignment horizontal="center"/>
    </xf>
    <xf numFmtId="165" fontId="0" fillId="0" borderId="22" xfId="3" applyNumberFormat="1" applyFont="1" applyFill="1" applyBorder="1" applyAlignment="1">
      <alignment horizontal="center"/>
    </xf>
    <xf numFmtId="165" fontId="0" fillId="0" borderId="19" xfId="3" applyNumberFormat="1" applyFont="1" applyFill="1" applyBorder="1" applyAlignment="1">
      <alignment horizontal="center"/>
    </xf>
    <xf numFmtId="165" fontId="0" fillId="0" borderId="0" xfId="3" applyNumberFormat="1" applyFont="1" applyFill="1" applyAlignment="1">
      <alignment horizontal="center"/>
    </xf>
    <xf numFmtId="164" fontId="0" fillId="2" borderId="0" xfId="1" applyNumberFormat="1" applyFont="1" applyFill="1"/>
    <xf numFmtId="0" fontId="0" fillId="0" borderId="0" xfId="0" applyAlignment="1">
      <alignment vertical="top" wrapText="1"/>
    </xf>
    <xf numFmtId="165" fontId="0" fillId="0" borderId="0" xfId="3" applyNumberFormat="1" applyFont="1" applyFill="1"/>
    <xf numFmtId="0" fontId="2" fillId="2" borderId="0" xfId="4" applyFill="1" applyAlignment="1">
      <alignment horizontal="center"/>
    </xf>
    <xf numFmtId="39" fontId="2" fillId="0" borderId="0" xfId="4" applyNumberFormat="1"/>
    <xf numFmtId="0" fontId="2" fillId="0" borderId="4" xfId="4" applyBorder="1" applyAlignment="1">
      <alignment horizontal="center"/>
    </xf>
    <xf numFmtId="0" fontId="2" fillId="2" borderId="0" xfId="4" applyFill="1"/>
    <xf numFmtId="0" fontId="2" fillId="0" borderId="0" xfId="4" applyAlignment="1">
      <alignment horizontal="center"/>
    </xf>
    <xf numFmtId="0" fontId="1" fillId="0" borderId="0" xfId="4" applyFont="1" applyAlignment="1">
      <alignment horizontal="center"/>
    </xf>
    <xf numFmtId="0" fontId="2" fillId="0" borderId="5" xfId="4" applyBorder="1" applyAlignment="1">
      <alignment horizontal="center"/>
    </xf>
    <xf numFmtId="0" fontId="1" fillId="0" borderId="5" xfId="4" applyFont="1" applyBorder="1" applyAlignment="1">
      <alignment horizontal="center"/>
    </xf>
    <xf numFmtId="3" fontId="2" fillId="0" borderId="0" xfId="4" applyNumberFormat="1"/>
    <xf numFmtId="10" fontId="2" fillId="0" borderId="0" xfId="4" applyNumberFormat="1"/>
    <xf numFmtId="164" fontId="2" fillId="0" borderId="0" xfId="4" applyNumberFormat="1"/>
    <xf numFmtId="164" fontId="2" fillId="0" borderId="4" xfId="4" applyNumberFormat="1" applyBorder="1"/>
    <xf numFmtId="43" fontId="2" fillId="0" borderId="0" xfId="4" applyNumberFormat="1"/>
    <xf numFmtId="0" fontId="2" fillId="3" borderId="0" xfId="4" applyFill="1"/>
    <xf numFmtId="164" fontId="2" fillId="0" borderId="6" xfId="4" applyNumberFormat="1" applyBorder="1"/>
    <xf numFmtId="37" fontId="2" fillId="0" borderId="5" xfId="4" applyNumberFormat="1" applyBorder="1" applyAlignment="1">
      <alignment horizontal="center"/>
    </xf>
    <xf numFmtId="164" fontId="2" fillId="0" borderId="5" xfId="4" applyNumberFormat="1" applyBorder="1"/>
    <xf numFmtId="0" fontId="2" fillId="0" borderId="1" xfId="4" applyBorder="1" applyAlignment="1">
      <alignment horizontal="center"/>
    </xf>
    <xf numFmtId="0" fontId="2" fillId="0" borderId="2" xfId="4" applyBorder="1" applyAlignment="1">
      <alignment horizontal="center"/>
    </xf>
    <xf numFmtId="0" fontId="2" fillId="0" borderId="3" xfId="4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 xr:uid="{DB1E081C-5FA1-4257-BFE8-6B9E612FBBDB}"/>
    <cellStyle name="Normal 2 2" xfId="5" xr:uid="{73F95944-7806-41C3-9949-52BF2185C3F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fin.ohio-state.edu\ice\Accounting\Interim_Financials_FY11\Mar11\scfgrid_033111_042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nie/2009%20Audit%20Worksheets/cpopr%20%202009%20depreci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1_2012%20ACCTG%20YEAREND%20SCHEDULES/FY12_Audit_Adjustments/Trust%2006.30.12%20deta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uckeyemailosu-my.sharepoint.com/personal/david_134_osu_edu/Documents/Apple%20Lease%20Amort%20Schedu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ERNIEAH/123/FOUND/AUDIT02/deloit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ler/Dept/Accounting/Foundation/FY2014/Interim_Financials/Mar13/OSU%20Foundation%209.30.1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OHR\Finance\Benefits\KG\Comp%20Rates\FY26\benefit_rate_calculation_25_26_updated_020325_3.5_AMCP.xlsx" TargetMode="External"/><Relationship Id="rId1" Type="http://schemas.openxmlformats.org/officeDocument/2006/relationships/externalLinkPath" Target="/OHR/Finance/Benefits/KG/Comp%20Rates/FY26/benefit_rate_calculation_25_26_updated_020325_3.5_AM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Y11_FY10_scf"/>
      <sheetName val="SCF_BoardRpt"/>
      <sheetName val="SCFperGrid"/>
      <sheetName val="SCFGrid"/>
      <sheetName val="Cycle Summaries"/>
      <sheetName val="BSandIS"/>
      <sheetName val="updatedexpensebyobject"/>
      <sheetName val="updated_ar_ap_detail"/>
      <sheetName val="033111_BARS_SIS"/>
      <sheetName val="033111AP_Accr_Liab"/>
      <sheetName val="Sheet3"/>
      <sheetName val="AP_Accr_Liab_Dec10_Dec09"/>
      <sheetName val="123110_BARS_SIS"/>
      <sheetName val="10_bars_asset_liab"/>
      <sheetName val="10_Allowances"/>
      <sheetName val="10_Other_AP"/>
      <sheetName val="09_bars_asset_liab"/>
      <sheetName val="09_AR_Allowances"/>
      <sheetName val="09_Other_AP"/>
    </sheetNames>
    <sheetDataSet>
      <sheetData sheetId="0"/>
      <sheetData sheetId="1"/>
      <sheetData sheetId="2"/>
      <sheetData sheetId="3"/>
      <sheetData sheetId="4">
        <row r="1">
          <cell r="A1" t="str">
            <v>THE OHIO STATE UNIVERSITY</v>
          </cell>
        </row>
        <row r="2">
          <cell r="A2" t="str">
            <v>Statement of Cash Flows Summary Worksheet</v>
          </cell>
        </row>
        <row r="3">
          <cell r="A3" t="str">
            <v>Grid Format</v>
          </cell>
        </row>
        <row r="4">
          <cell r="A4" t="str">
            <v>July 1, 2010 through March 31, 2011</v>
          </cell>
        </row>
        <row r="5">
          <cell r="A5" t="str">
            <v>(in thousands)</v>
          </cell>
        </row>
        <row r="7">
          <cell r="D7" t="str">
            <v>Operating</v>
          </cell>
          <cell r="E7" t="str">
            <v>Operating</v>
          </cell>
          <cell r="I7" t="str">
            <v>Operating</v>
          </cell>
          <cell r="J7" t="str">
            <v>Operating</v>
          </cell>
          <cell r="K7" t="str">
            <v>Operating</v>
          </cell>
          <cell r="L7" t="str">
            <v>Operating</v>
          </cell>
          <cell r="M7" t="str">
            <v>Operating</v>
          </cell>
          <cell r="T7" t="str">
            <v>Operating</v>
          </cell>
          <cell r="U7" t="str">
            <v>Operating</v>
          </cell>
          <cell r="V7" t="str">
            <v>Operating</v>
          </cell>
          <cell r="Z7" t="str">
            <v>Operating</v>
          </cell>
        </row>
        <row r="8">
          <cell r="F8" t="str">
            <v>State subsidy &amp;</v>
          </cell>
          <cell r="X8" t="str">
            <v>Receipts &amp;</v>
          </cell>
        </row>
        <row r="9">
          <cell r="B9" t="str">
            <v>BS and IS</v>
          </cell>
          <cell r="C9" t="str">
            <v>Flip Signs to</v>
          </cell>
          <cell r="E9" t="str">
            <v>Grants and</v>
          </cell>
          <cell r="F9" t="str">
            <v>Other</v>
          </cell>
          <cell r="G9" t="str">
            <v>State</v>
          </cell>
          <cell r="I9" t="str">
            <v>Receipts from</v>
          </cell>
          <cell r="J9" t="str">
            <v>Payments to or</v>
          </cell>
          <cell r="K9" t="str">
            <v>Payments for</v>
          </cell>
          <cell r="L9" t="str">
            <v>Payments for</v>
          </cell>
          <cell r="M9" t="str">
            <v>Payments to</v>
          </cell>
          <cell r="O9" t="str">
            <v>Investment</v>
          </cell>
          <cell r="Q9" t="str">
            <v>Interest</v>
          </cell>
          <cell r="R9" t="str">
            <v>Principal</v>
          </cell>
          <cell r="S9" t="str">
            <v>Federal Direct</v>
          </cell>
          <cell r="T9" t="str">
            <v>Student</v>
          </cell>
          <cell r="U9" t="str">
            <v xml:space="preserve">Student Loan </v>
          </cell>
          <cell r="V9" t="str">
            <v>Refundable</v>
          </cell>
          <cell r="W9" t="str">
            <v>Other Notes</v>
          </cell>
          <cell r="X9" t="str">
            <v>Payments</v>
          </cell>
          <cell r="Y9" t="str">
            <v>Agency Funds</v>
          </cell>
          <cell r="Z9" t="str">
            <v>Other Receipts</v>
          </cell>
          <cell r="AA9" t="str">
            <v>Correct/Reclass</v>
          </cell>
          <cell r="AC9" t="str">
            <v>Correct</v>
          </cell>
          <cell r="AG9" t="str">
            <v>Reconciliation to</v>
          </cell>
          <cell r="AH9" t="str">
            <v>Non-Cash</v>
          </cell>
        </row>
        <row r="10">
          <cell r="B10" t="str">
            <v>Amounts</v>
          </cell>
          <cell r="C10" t="str">
            <v>Reflect Cash</v>
          </cell>
          <cell r="D10" t="str">
            <v>Tuition and</v>
          </cell>
          <cell r="E10" t="str">
            <v xml:space="preserve">Contracts - </v>
          </cell>
          <cell r="F10" t="str">
            <v>Non-exchange</v>
          </cell>
          <cell r="G10" t="str">
            <v>Capital</v>
          </cell>
          <cell r="H10" t="str">
            <v>Gift</v>
          </cell>
          <cell r="I10" t="str">
            <v>Sales and</v>
          </cell>
          <cell r="J10" t="str">
            <v xml:space="preserve">on behalf of </v>
          </cell>
          <cell r="K10" t="str">
            <v>Employee</v>
          </cell>
          <cell r="L10" t="str">
            <v>Supplies and</v>
          </cell>
          <cell r="M10" t="str">
            <v>Students/Scholars</v>
          </cell>
          <cell r="N10" t="str">
            <v>Investment</v>
          </cell>
          <cell r="O10" t="str">
            <v>Purchases and</v>
          </cell>
          <cell r="P10" t="str">
            <v>Purchases of</v>
          </cell>
          <cell r="Q10" t="str">
            <v>on Long-Term</v>
          </cell>
          <cell r="R10" t="str">
            <v>Payments on</v>
          </cell>
          <cell r="S10" t="str">
            <v>Lending</v>
          </cell>
          <cell r="T10" t="str">
            <v>Loans Issued</v>
          </cell>
          <cell r="U10" t="str">
            <v>Interest and</v>
          </cell>
          <cell r="V10" t="str">
            <v>Advances for</v>
          </cell>
          <cell r="W10" t="str">
            <v>Receivable -</v>
          </cell>
          <cell r="X10" t="str">
            <v>under life income</v>
          </cell>
          <cell r="Y10" t="str">
            <v>Receipts and</v>
          </cell>
          <cell r="Z10" t="str">
            <v>(Payments)</v>
          </cell>
          <cell r="AA10" t="str">
            <v>Annuity/Life</v>
          </cell>
          <cell r="AC10" t="str">
            <v>Current - Noncurrent</v>
          </cell>
          <cell r="AG10" t="str">
            <v>Net Operating</v>
          </cell>
          <cell r="AH10" t="str">
            <v>Operating</v>
          </cell>
        </row>
        <row r="11">
          <cell r="B11" t="str">
            <v>DR (CR)</v>
          </cell>
          <cell r="C11" t="str">
            <v>Effects</v>
          </cell>
          <cell r="D11" t="str">
            <v>Fees</v>
          </cell>
          <cell r="E11" t="str">
            <v>Operating</v>
          </cell>
          <cell r="F11" t="str">
            <v>Grants</v>
          </cell>
          <cell r="G11" t="str">
            <v>Appropriations</v>
          </cell>
          <cell r="H11" t="str">
            <v>Receipts</v>
          </cell>
          <cell r="I11" t="str">
            <v>Services</v>
          </cell>
          <cell r="J11" t="str">
            <v>Employees</v>
          </cell>
          <cell r="K11" t="str">
            <v>Benefits</v>
          </cell>
          <cell r="L11" t="str">
            <v>Services</v>
          </cell>
          <cell r="M11" t="str">
            <v>(non-wage)</v>
          </cell>
          <cell r="N11" t="str">
            <v>Income</v>
          </cell>
          <cell r="O11" t="str">
            <v>Maturities</v>
          </cell>
          <cell r="P11" t="str">
            <v>Capital Assets</v>
          </cell>
          <cell r="Q11" t="str">
            <v>Debt</v>
          </cell>
          <cell r="R11" t="str">
            <v>Long-Term Debt</v>
          </cell>
          <cell r="S11" t="str">
            <v>Draws/Disbs</v>
          </cell>
          <cell r="T11" t="str">
            <v>&amp; Collected</v>
          </cell>
          <cell r="U11" t="str">
            <v>Penalties</v>
          </cell>
          <cell r="V11" t="str">
            <v>Perkins Loans</v>
          </cell>
          <cell r="W11" t="str">
            <v>Plant</v>
          </cell>
          <cell r="X11" t="str">
            <v>agreements</v>
          </cell>
          <cell r="Y11" t="str">
            <v>Disbursements</v>
          </cell>
          <cell r="Z11" t="str">
            <v>Operating</v>
          </cell>
          <cell r="AA11" t="str">
            <v>Additions</v>
          </cell>
          <cell r="AC11" t="str">
            <v>Flip-Flops</v>
          </cell>
          <cell r="AE11" t="str">
            <v>Totals</v>
          </cell>
          <cell r="AG11" t="str">
            <v>Income (Loss)</v>
          </cell>
          <cell r="AH11" t="str">
            <v>Items</v>
          </cell>
        </row>
        <row r="13">
          <cell r="A13" t="str">
            <v>Cash Flows from Operating Activities:</v>
          </cell>
        </row>
        <row r="14">
          <cell r="A14" t="str">
            <v>Tuition and fee receipts</v>
          </cell>
        </row>
        <row r="15">
          <cell r="A15" t="str">
            <v>Grant and contract receipts</v>
          </cell>
        </row>
        <row r="16">
          <cell r="A16" t="str">
            <v>Receipts for sales and services</v>
          </cell>
        </row>
        <row r="17">
          <cell r="A17" t="str">
            <v>Payments to or on behalf of employees</v>
          </cell>
        </row>
        <row r="18">
          <cell r="A18" t="str">
            <v>University employee benefit payments</v>
          </cell>
        </row>
        <row r="19">
          <cell r="A19" t="str">
            <v>Payments to vendors for supplies and services</v>
          </cell>
        </row>
        <row r="20">
          <cell r="A20" t="str">
            <v>Payments to students and fellows</v>
          </cell>
        </row>
        <row r="21">
          <cell r="A21" t="str">
            <v>Student loans issued</v>
          </cell>
        </row>
        <row r="22">
          <cell r="A22" t="str">
            <v>Student loans collected</v>
          </cell>
        </row>
        <row r="23">
          <cell r="A23" t="str">
            <v>Student loan interest and fees collected</v>
          </cell>
        </row>
        <row r="24">
          <cell r="A24" t="str">
            <v xml:space="preserve">Other receipts (payments) </v>
          </cell>
        </row>
        <row r="26">
          <cell r="A26" t="str">
            <v>Net cash provided (used) by operating activities</v>
          </cell>
        </row>
        <row r="28">
          <cell r="A28" t="str">
            <v>Cash Flows from Noncapital Financing Activities:</v>
          </cell>
        </row>
        <row r="29">
          <cell r="A29" t="str">
            <v>State share of instruction and line-item appropriations</v>
          </cell>
        </row>
        <row r="30">
          <cell r="A30" t="str">
            <v>Federal fiscal stabilization funds</v>
          </cell>
        </row>
        <row r="31">
          <cell r="A31" t="str">
            <v>Non-exchange grant receipts</v>
          </cell>
        </row>
        <row r="32">
          <cell r="A32" t="str">
            <v>Gift receipts for current use</v>
          </cell>
        </row>
        <row r="33">
          <cell r="A33" t="str">
            <v>Additions to permanent endowments</v>
          </cell>
        </row>
        <row r="34">
          <cell r="A34" t="str">
            <v>Drawdowns of federal direct loan proceeds</v>
          </cell>
        </row>
        <row r="35">
          <cell r="A35" t="str">
            <v>Disbursements of federal direct loans to students</v>
          </cell>
        </row>
        <row r="36">
          <cell r="A36" t="str">
            <v>Other additions to student loan funds</v>
          </cell>
        </row>
        <row r="37">
          <cell r="A37" t="str">
            <v>Disbursement of loan proceeds to related organization</v>
          </cell>
        </row>
        <row r="38">
          <cell r="A38" t="str">
            <v>Repayment of loans to related organization</v>
          </cell>
        </row>
        <row r="39">
          <cell r="A39" t="str">
            <v>Amounts received for annuity and life income funds</v>
          </cell>
        </row>
        <row r="40">
          <cell r="A40" t="str">
            <v>Amounts paid to annuitants and life beneficiaries</v>
          </cell>
        </row>
        <row r="41">
          <cell r="A41" t="str">
            <v>Agency funds receipts</v>
          </cell>
        </row>
        <row r="42">
          <cell r="A42" t="str">
            <v>Agency funds disbursements</v>
          </cell>
        </row>
        <row r="44">
          <cell r="A44" t="str">
            <v>Net cash provided (used) by noncapital financing activities</v>
          </cell>
        </row>
        <row r="46">
          <cell r="A46" t="str">
            <v>Cash Flows from Capital Financing Activities:</v>
          </cell>
        </row>
        <row r="47">
          <cell r="A47" t="str">
            <v>Proceeds from capital debt</v>
          </cell>
        </row>
        <row r="48">
          <cell r="A48" t="str">
            <v>State capital appropriations</v>
          </cell>
        </row>
        <row r="49">
          <cell r="A49" t="str">
            <v>Gift receipts for capital projects</v>
          </cell>
        </row>
        <row r="50">
          <cell r="A50" t="str">
            <v>Payments for purchase or construction of capital assets</v>
          </cell>
        </row>
        <row r="51">
          <cell r="A51" t="str">
            <v>Principal payments on capital debt and leases</v>
          </cell>
        </row>
        <row r="52">
          <cell r="A52" t="str">
            <v>Interest payments on capital debt and leases</v>
          </cell>
        </row>
        <row r="54">
          <cell r="A54" t="str">
            <v>Net cash provided (used) by capital financing activities</v>
          </cell>
        </row>
        <row r="56">
          <cell r="A56" t="str">
            <v>Cash Flows from Investing Activities:</v>
          </cell>
        </row>
        <row r="57">
          <cell r="A57" t="str">
            <v>Net (purchases) sales of temporary investments</v>
          </cell>
        </row>
        <row r="58">
          <cell r="A58" t="str">
            <v>Sales and maturities of endowment and other long-term investments</v>
          </cell>
        </row>
        <row r="59">
          <cell r="A59" t="str">
            <v>Investment income (net of related fees)</v>
          </cell>
        </row>
        <row r="60">
          <cell r="A60" t="str">
            <v>Purchases of endowment and other long-term investments</v>
          </cell>
        </row>
        <row r="62">
          <cell r="A62" t="str">
            <v>Net cash provided (used) by investing activities</v>
          </cell>
        </row>
        <row r="64">
          <cell r="A64" t="str">
            <v>Net Increase (Decrease) in Cash</v>
          </cell>
        </row>
        <row r="65">
          <cell r="A65" t="str">
            <v xml:space="preserve">   Cash - Beginning of Year</v>
          </cell>
        </row>
        <row r="66">
          <cell r="A66" t="str">
            <v xml:space="preserve">   Cash - End of Year</v>
          </cell>
        </row>
        <row r="68">
          <cell r="A68" t="str">
            <v>Reconciliation of Net Operating Loss to Net Cash</v>
          </cell>
        </row>
        <row r="69">
          <cell r="A69" t="str">
            <v xml:space="preserve">    Provided (Used) by Operating Activities:</v>
          </cell>
        </row>
        <row r="70">
          <cell r="A70" t="str">
            <v xml:space="preserve">  Operating loss</v>
          </cell>
        </row>
        <row r="71">
          <cell r="A71" t="str">
            <v>Adjustments to reconcile net operating loss to net cash</v>
          </cell>
        </row>
        <row r="72">
          <cell r="A72" t="str">
            <v xml:space="preserve">   provided (used) by operating activities:</v>
          </cell>
        </row>
        <row r="73">
          <cell r="A73" t="str">
            <v xml:space="preserve">  Depreciation expense</v>
          </cell>
        </row>
        <row r="74">
          <cell r="A74" t="str">
            <v xml:space="preserve">  Graduate, employee and dependent fee authorizations</v>
          </cell>
        </row>
        <row r="76">
          <cell r="A76" t="str">
            <v xml:space="preserve">  Departmental charges from auxiliary enterprises and</v>
          </cell>
        </row>
        <row r="77">
          <cell r="A77" t="str">
            <v xml:space="preserve">      other non-cash expense allocations</v>
          </cell>
        </row>
        <row r="78">
          <cell r="A78" t="str">
            <v>Changes in assets and liabilities:</v>
          </cell>
        </row>
        <row r="84">
          <cell r="A84" t="str">
            <v>Income Statement:</v>
          </cell>
        </row>
        <row r="86">
          <cell r="A86" t="str">
            <v>Operating Revenues:</v>
          </cell>
        </row>
        <row r="87">
          <cell r="A87" t="str">
            <v>Student Tuition and Fees (net of scholarship</v>
          </cell>
        </row>
        <row r="88">
          <cell r="A88" t="str">
            <v xml:space="preserve">         allowances of  $</v>
          </cell>
          <cell r="B88">
            <v>-493160</v>
          </cell>
          <cell r="C88">
            <v>493160</v>
          </cell>
        </row>
        <row r="89">
          <cell r="A89" t="str">
            <v>Federal grants and contracts</v>
          </cell>
          <cell r="B89">
            <v>-267519</v>
          </cell>
          <cell r="C89">
            <v>267519</v>
          </cell>
        </row>
        <row r="90">
          <cell r="A90" t="str">
            <v>State grants and contracts</v>
          </cell>
          <cell r="B90">
            <v>-29592</v>
          </cell>
          <cell r="C90">
            <v>29592</v>
          </cell>
        </row>
        <row r="91">
          <cell r="A91" t="str">
            <v>Local grants and contracts</v>
          </cell>
          <cell r="B91">
            <v>-11483</v>
          </cell>
          <cell r="C91">
            <v>11483</v>
          </cell>
        </row>
        <row r="92">
          <cell r="A92" t="str">
            <v>Private grants and contracts</v>
          </cell>
          <cell r="B92">
            <v>-163103</v>
          </cell>
          <cell r="C92">
            <v>163103</v>
          </cell>
        </row>
        <row r="93">
          <cell r="A93" t="str">
            <v>Sales and services of educational departments</v>
          </cell>
          <cell r="B93">
            <v>-82767</v>
          </cell>
          <cell r="C93">
            <v>82767</v>
          </cell>
        </row>
        <row r="94">
          <cell r="A94" t="str">
            <v>Sales and services of auxiliary enterprises</v>
          </cell>
          <cell r="B94">
            <v>-190665</v>
          </cell>
          <cell r="C94">
            <v>190665</v>
          </cell>
        </row>
        <row r="95">
          <cell r="A95" t="str">
            <v>Sales and services of the OSU Medical Center</v>
          </cell>
          <cell r="B95">
            <v>-1330944</v>
          </cell>
          <cell r="C95">
            <v>1330944</v>
          </cell>
        </row>
        <row r="96">
          <cell r="A96" t="str">
            <v>Sales and services of OSU Physicians</v>
          </cell>
          <cell r="B96">
            <v>-238437</v>
          </cell>
          <cell r="C96">
            <v>238437</v>
          </cell>
        </row>
        <row r="97">
          <cell r="A97" t="str">
            <v>Other operating revenues</v>
          </cell>
          <cell r="B97">
            <v>-18715</v>
          </cell>
          <cell r="C97">
            <v>18715</v>
          </cell>
        </row>
        <row r="100">
          <cell r="A100" t="str">
            <v>Operating Expenses:</v>
          </cell>
        </row>
        <row r="101">
          <cell r="A101" t="str">
            <v>Educational and General:</v>
          </cell>
        </row>
        <row r="102">
          <cell r="A102" t="str">
            <v>Instructional and departmental research</v>
          </cell>
          <cell r="B102">
            <v>616106</v>
          </cell>
          <cell r="C102">
            <v>-616106</v>
          </cell>
        </row>
        <row r="103">
          <cell r="A103" t="str">
            <v>Separately budgeted research</v>
          </cell>
          <cell r="B103">
            <v>326557</v>
          </cell>
          <cell r="C103">
            <v>-326557</v>
          </cell>
        </row>
        <row r="104">
          <cell r="A104" t="str">
            <v>Public service</v>
          </cell>
          <cell r="B104">
            <v>77421</v>
          </cell>
          <cell r="C104">
            <v>-77421</v>
          </cell>
        </row>
        <row r="105">
          <cell r="A105" t="str">
            <v>Academic support</v>
          </cell>
          <cell r="B105">
            <v>102240</v>
          </cell>
          <cell r="C105">
            <v>-102240</v>
          </cell>
        </row>
        <row r="106">
          <cell r="A106" t="str">
            <v>Student services</v>
          </cell>
          <cell r="B106">
            <v>65550</v>
          </cell>
          <cell r="C106">
            <v>-65550</v>
          </cell>
        </row>
        <row r="107">
          <cell r="A107" t="str">
            <v>Institutional support</v>
          </cell>
          <cell r="B107">
            <v>134426</v>
          </cell>
          <cell r="C107">
            <v>-134426</v>
          </cell>
        </row>
        <row r="108">
          <cell r="A108" t="str">
            <v>Operation and maintenance of plant</v>
          </cell>
          <cell r="B108">
            <v>89345</v>
          </cell>
          <cell r="C108">
            <v>-89345</v>
          </cell>
        </row>
        <row r="109">
          <cell r="A109" t="str">
            <v>Scholarship and fellowship payments *</v>
          </cell>
          <cell r="B109">
            <v>102908</v>
          </cell>
          <cell r="C109">
            <v>-102908</v>
          </cell>
        </row>
        <row r="110">
          <cell r="A110" t="str">
            <v>Auxiliary enterprises</v>
          </cell>
          <cell r="B110">
            <v>184105</v>
          </cell>
          <cell r="C110">
            <v>-184105</v>
          </cell>
        </row>
        <row r="111">
          <cell r="A111" t="str">
            <v>Hospitals</v>
          </cell>
          <cell r="B111">
            <v>1232942</v>
          </cell>
          <cell r="C111">
            <v>-1232942</v>
          </cell>
        </row>
        <row r="112">
          <cell r="A112" t="str">
            <v>OSU Physicians</v>
          </cell>
          <cell r="B112">
            <v>225557</v>
          </cell>
          <cell r="C112">
            <v>-225557</v>
          </cell>
        </row>
        <row r="113">
          <cell r="A113" t="str">
            <v>Depreciation</v>
          </cell>
          <cell r="B113">
            <v>176490</v>
          </cell>
          <cell r="C113">
            <v>-176490</v>
          </cell>
        </row>
        <row r="118">
          <cell r="A118" t="str">
            <v>Non-operating Revenues/Expenses DR(CR):</v>
          </cell>
        </row>
        <row r="119">
          <cell r="A119" t="str">
            <v>State share of instruction</v>
          </cell>
          <cell r="B119">
            <v>-326073</v>
          </cell>
          <cell r="C119">
            <v>326073</v>
          </cell>
        </row>
        <row r="120">
          <cell r="A120" t="str">
            <v>Federal fiscal stabilization funds</v>
          </cell>
          <cell r="B120">
            <v>-48323</v>
          </cell>
          <cell r="C120">
            <v>48323</v>
          </cell>
        </row>
        <row r="121">
          <cell r="A121" t="str">
            <v>Federal non-exchange grants</v>
          </cell>
          <cell r="B121">
            <v>-55836</v>
          </cell>
          <cell r="C121">
            <v>55836</v>
          </cell>
        </row>
        <row r="122">
          <cell r="A122" t="str">
            <v>State non-exchange grants</v>
          </cell>
          <cell r="B122">
            <v>-4039</v>
          </cell>
          <cell r="C122">
            <v>4039</v>
          </cell>
        </row>
        <row r="123">
          <cell r="A123" t="str">
            <v>Gifts - current use</v>
          </cell>
          <cell r="B123">
            <v>-83619</v>
          </cell>
          <cell r="C123">
            <v>83619</v>
          </cell>
        </row>
        <row r="124">
          <cell r="A124" t="str">
            <v>Net investment income (loss)</v>
          </cell>
          <cell r="B124">
            <v>-345787</v>
          </cell>
          <cell r="C124">
            <v>345787</v>
          </cell>
        </row>
        <row r="125">
          <cell r="A125" t="str">
            <v>Interest expense on plant debt</v>
          </cell>
          <cell r="B125">
            <v>25994</v>
          </cell>
          <cell r="C125">
            <v>-25994</v>
          </cell>
        </row>
        <row r="126">
          <cell r="A126" t="str">
            <v>Other non-operating revenues/expenses</v>
          </cell>
          <cell r="B126">
            <v>-11097</v>
          </cell>
          <cell r="C126">
            <v>11097</v>
          </cell>
        </row>
        <row r="132">
          <cell r="A132" t="str">
            <v>State capital appropriations</v>
          </cell>
          <cell r="B132">
            <v>-44179</v>
          </cell>
          <cell r="C132">
            <v>44179</v>
          </cell>
        </row>
        <row r="133">
          <cell r="A133" t="str">
            <v>Private capital gifts</v>
          </cell>
          <cell r="B133">
            <v>-5436</v>
          </cell>
          <cell r="C133">
            <v>5436</v>
          </cell>
        </row>
        <row r="134">
          <cell r="A134" t="str">
            <v>Additions to permanent endowments</v>
          </cell>
          <cell r="B134">
            <v>-20867</v>
          </cell>
          <cell r="C134">
            <v>20867</v>
          </cell>
        </row>
        <row r="136">
          <cell r="A136" t="str">
            <v>Balance Sheet Changes:</v>
          </cell>
        </row>
        <row r="138">
          <cell r="A138" t="str">
            <v>ASSETS:</v>
          </cell>
        </row>
        <row r="139">
          <cell r="A139" t="str">
            <v>Current Assets:</v>
          </cell>
        </row>
        <row r="140">
          <cell r="A140" t="str">
            <v>Cash and cash equivalents</v>
          </cell>
          <cell r="B140">
            <v>0</v>
          </cell>
          <cell r="C140">
            <v>0</v>
          </cell>
        </row>
        <row r="141">
          <cell r="A141" t="str">
            <v>Investments</v>
          </cell>
          <cell r="B141">
            <v>1235879</v>
          </cell>
          <cell r="C141">
            <v>-1235879</v>
          </cell>
        </row>
        <row r="142">
          <cell r="A142" t="str">
            <v>Accounts receivable, net</v>
          </cell>
          <cell r="B142">
            <v>81894</v>
          </cell>
          <cell r="C142">
            <v>-81894</v>
          </cell>
        </row>
        <row r="143">
          <cell r="A143" t="str">
            <v>Notes receivable -current portion</v>
          </cell>
          <cell r="B143">
            <v>19</v>
          </cell>
          <cell r="C143">
            <v>-19</v>
          </cell>
        </row>
        <row r="144">
          <cell r="A144" t="str">
            <v>Pledges receivable - current portion</v>
          </cell>
          <cell r="B144">
            <v>530</v>
          </cell>
          <cell r="C144">
            <v>-530</v>
          </cell>
        </row>
        <row r="145">
          <cell r="A145" t="str">
            <v>Accrued interest receivable</v>
          </cell>
          <cell r="B145">
            <v>-2915</v>
          </cell>
          <cell r="C145">
            <v>2915</v>
          </cell>
        </row>
        <row r="146">
          <cell r="A146" t="str">
            <v>Inventories and prepaid expenses</v>
          </cell>
          <cell r="B146">
            <v>29401</v>
          </cell>
          <cell r="C146">
            <v>-29401</v>
          </cell>
        </row>
        <row r="149">
          <cell r="A149" t="str">
            <v>Noncurrent Assets:</v>
          </cell>
        </row>
        <row r="150">
          <cell r="A150" t="str">
            <v>Notes receivable, net</v>
          </cell>
          <cell r="B150">
            <v>-3856</v>
          </cell>
          <cell r="C150">
            <v>3856</v>
          </cell>
        </row>
        <row r="151">
          <cell r="A151" t="str">
            <v>Pledges receivable, net</v>
          </cell>
          <cell r="B151">
            <v>-873</v>
          </cell>
          <cell r="C151">
            <v>873</v>
          </cell>
        </row>
        <row r="152">
          <cell r="A152" t="str">
            <v>Endowment Investments</v>
          </cell>
          <cell r="B152">
            <v>217614</v>
          </cell>
          <cell r="C152">
            <v>-217614</v>
          </cell>
        </row>
        <row r="153">
          <cell r="A153" t="str">
            <v>Other Long-Term Investments</v>
          </cell>
          <cell r="B153">
            <v>-13131</v>
          </cell>
          <cell r="C153">
            <v>13131</v>
          </cell>
        </row>
        <row r="154">
          <cell r="A154" t="str">
            <v>Capital assets not being depreciated</v>
          </cell>
          <cell r="B154">
            <v>222423</v>
          </cell>
          <cell r="C154">
            <v>-222423</v>
          </cell>
        </row>
        <row r="155">
          <cell r="A155" t="str">
            <v>Capital assets being depreciated, net</v>
          </cell>
          <cell r="B155">
            <v>-128118</v>
          </cell>
          <cell r="C155">
            <v>128118</v>
          </cell>
        </row>
        <row r="160">
          <cell r="A160" t="str">
            <v>LIABILITIES AND NET ASSETS:</v>
          </cell>
        </row>
        <row r="161">
          <cell r="A161" t="str">
            <v>Current Liabilities:</v>
          </cell>
        </row>
        <row r="162">
          <cell r="A162" t="str">
            <v>Accounts payable and accrued expenses</v>
          </cell>
          <cell r="B162">
            <v>32862</v>
          </cell>
          <cell r="C162">
            <v>-32862</v>
          </cell>
        </row>
        <row r="163">
          <cell r="A163" t="str">
            <v>Deposits and deferred revenues</v>
          </cell>
          <cell r="B163">
            <v>-227094</v>
          </cell>
          <cell r="C163">
            <v>227094</v>
          </cell>
        </row>
        <row r="164">
          <cell r="A164" t="str">
            <v>Commercial paper and current portion of bonds, notes and leases payable</v>
          </cell>
          <cell r="B164">
            <v>30735</v>
          </cell>
          <cell r="C164">
            <v>-30735</v>
          </cell>
        </row>
        <row r="165">
          <cell r="A165" t="str">
            <v>Compensated absences - current portion</v>
          </cell>
          <cell r="B165">
            <v>0</v>
          </cell>
          <cell r="C165">
            <v>0</v>
          </cell>
        </row>
        <row r="166">
          <cell r="A166" t="str">
            <v>Obligations under annuity and life income agreements-current portion</v>
          </cell>
          <cell r="B166">
            <v>-123</v>
          </cell>
          <cell r="C166">
            <v>123</v>
          </cell>
        </row>
        <row r="168">
          <cell r="A168" t="str">
            <v>Noncurrent Liabilities:</v>
          </cell>
        </row>
        <row r="169">
          <cell r="A169" t="str">
            <v>Bonds, notes and leases payable</v>
          </cell>
          <cell r="B169">
            <v>-660177</v>
          </cell>
          <cell r="C169">
            <v>660177</v>
          </cell>
        </row>
        <row r="170">
          <cell r="A170" t="str">
            <v>Compensated absences</v>
          </cell>
          <cell r="B170">
            <v>-4236</v>
          </cell>
          <cell r="C170">
            <v>4236</v>
          </cell>
        </row>
        <row r="171">
          <cell r="A171" t="str">
            <v>Obligations under annuity and life income agreements</v>
          </cell>
          <cell r="B171">
            <v>1018</v>
          </cell>
          <cell r="C171">
            <v>-1018</v>
          </cell>
        </row>
        <row r="172">
          <cell r="A172" t="str">
            <v>Refundable advances for Federal Perkins loans</v>
          </cell>
          <cell r="B172">
            <v>0</v>
          </cell>
          <cell r="C172">
            <v>0</v>
          </cell>
        </row>
        <row r="173">
          <cell r="A173" t="str">
            <v>Other noncurrent liabilities</v>
          </cell>
          <cell r="B173">
            <v>-10179</v>
          </cell>
          <cell r="C173">
            <v>10179</v>
          </cell>
        </row>
        <row r="175">
          <cell r="A175" t="str">
            <v>Net Effect of SCF Reclassification (s/b -0-)</v>
          </cell>
        </row>
        <row r="177">
          <cell r="A177" t="str">
            <v>Net Change in Cash</v>
          </cell>
          <cell r="B177">
            <v>389673</v>
          </cell>
          <cell r="C177">
            <v>-389673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forward"/>
      <sheetName val="Total Deprec"/>
      <sheetName val="10064disp"/>
      <sheetName val="10065disp"/>
      <sheetName val="10066"/>
      <sheetName val="10067Disp"/>
      <sheetName val="10068disp"/>
      <sheetName val="10069disp"/>
      <sheetName val="10070disp"/>
      <sheetName val="10071DISP"/>
      <sheetName val="10072DISP"/>
      <sheetName val="10073DISP"/>
      <sheetName val="10074DISP"/>
      <sheetName val="10075DISP"/>
      <sheetName val="10076DISP"/>
      <sheetName val="10077"/>
      <sheetName val="10078"/>
      <sheetName val="10079"/>
      <sheetName val="10080Disp"/>
      <sheetName val="10081disp"/>
      <sheetName val="10082disp"/>
      <sheetName val="10083DISP"/>
      <sheetName val="10084DISP"/>
      <sheetName val="10085Disp"/>
      <sheetName val="10086DISP"/>
      <sheetName val="10087DISP"/>
      <sheetName val="10088DISP"/>
      <sheetName val="10089"/>
      <sheetName val="10090"/>
      <sheetName val="10091DISP"/>
      <sheetName val="10092DISP"/>
      <sheetName val="10093DISP"/>
      <sheetName val="10094"/>
      <sheetName val="10095disp"/>
      <sheetName val="10096disp"/>
      <sheetName val="10097"/>
      <sheetName val="10098DISP"/>
      <sheetName val="10099Disp"/>
      <sheetName val="10100"/>
      <sheetName val="10101DISP"/>
      <sheetName val="10102DISP"/>
      <sheetName val="10103DISP"/>
      <sheetName val="10104DISP"/>
      <sheetName val="10105disp"/>
      <sheetName val="10106DISP"/>
      <sheetName val="10107DISP"/>
      <sheetName val="10108"/>
      <sheetName val="10109"/>
      <sheetName val="10110"/>
      <sheetName val="10111"/>
      <sheetName val="10112Disp"/>
      <sheetName val="10113DISP"/>
      <sheetName val="10114DISP"/>
      <sheetName val="10115DISP"/>
      <sheetName val="10116DISP"/>
      <sheetName val="10117disp"/>
      <sheetName val="10118disp"/>
      <sheetName val="10119"/>
      <sheetName val="10120"/>
      <sheetName val="10121"/>
      <sheetName val="10122"/>
      <sheetName val="Phone SystemDisp"/>
      <sheetName val="Computer"/>
      <sheetName val="AntiVirus Software"/>
      <sheetName val="MRI software"/>
      <sheetName val="Variables"/>
    </sheetNames>
    <sheetDataSet>
      <sheetData sheetId="0"/>
      <sheetData sheetId="1"/>
      <sheetData sheetId="2">
        <row r="4">
          <cell r="E4">
            <v>0</v>
          </cell>
        </row>
      </sheetData>
      <sheetData sheetId="3">
        <row r="4">
          <cell r="E4">
            <v>0</v>
          </cell>
        </row>
      </sheetData>
      <sheetData sheetId="4">
        <row r="4">
          <cell r="E4">
            <v>0</v>
          </cell>
        </row>
      </sheetData>
      <sheetData sheetId="5">
        <row r="4">
          <cell r="E4">
            <v>0</v>
          </cell>
        </row>
      </sheetData>
      <sheetData sheetId="6">
        <row r="4">
          <cell r="E4">
            <v>0</v>
          </cell>
        </row>
      </sheetData>
      <sheetData sheetId="7">
        <row r="4">
          <cell r="E4">
            <v>0</v>
          </cell>
        </row>
      </sheetData>
      <sheetData sheetId="8">
        <row r="4">
          <cell r="E4">
            <v>0</v>
          </cell>
        </row>
      </sheetData>
      <sheetData sheetId="9">
        <row r="4">
          <cell r="E4">
            <v>0</v>
          </cell>
        </row>
      </sheetData>
      <sheetData sheetId="10"/>
      <sheetData sheetId="11"/>
      <sheetData sheetId="12"/>
      <sheetData sheetId="13"/>
      <sheetData sheetId="14"/>
      <sheetData sheetId="15">
        <row r="4">
          <cell r="E4">
            <v>0</v>
          </cell>
        </row>
      </sheetData>
      <sheetData sheetId="16">
        <row r="4">
          <cell r="E4">
            <v>0</v>
          </cell>
        </row>
      </sheetData>
      <sheetData sheetId="17">
        <row r="4">
          <cell r="E4">
            <v>0</v>
          </cell>
        </row>
      </sheetData>
      <sheetData sheetId="18">
        <row r="4">
          <cell r="E4">
            <v>0</v>
          </cell>
        </row>
      </sheetData>
      <sheetData sheetId="19">
        <row r="4">
          <cell r="E4">
            <v>0</v>
          </cell>
        </row>
      </sheetData>
      <sheetData sheetId="20">
        <row r="4">
          <cell r="E4">
            <v>0</v>
          </cell>
        </row>
      </sheetData>
      <sheetData sheetId="21"/>
      <sheetData sheetId="22"/>
      <sheetData sheetId="23">
        <row r="4">
          <cell r="E4">
            <v>0</v>
          </cell>
        </row>
      </sheetData>
      <sheetData sheetId="24">
        <row r="4">
          <cell r="E4">
            <v>0</v>
          </cell>
        </row>
      </sheetData>
      <sheetData sheetId="25"/>
      <sheetData sheetId="26"/>
      <sheetData sheetId="27">
        <row r="4">
          <cell r="E4">
            <v>0</v>
          </cell>
        </row>
      </sheetData>
      <sheetData sheetId="28">
        <row r="4">
          <cell r="E4">
            <v>0</v>
          </cell>
        </row>
      </sheetData>
      <sheetData sheetId="29">
        <row r="4">
          <cell r="E4">
            <v>0</v>
          </cell>
        </row>
      </sheetData>
      <sheetData sheetId="30"/>
      <sheetData sheetId="31"/>
      <sheetData sheetId="32">
        <row r="4">
          <cell r="E4">
            <v>0</v>
          </cell>
        </row>
      </sheetData>
      <sheetData sheetId="33">
        <row r="4">
          <cell r="E4">
            <v>0</v>
          </cell>
        </row>
      </sheetData>
      <sheetData sheetId="34">
        <row r="4">
          <cell r="E4">
            <v>0</v>
          </cell>
        </row>
      </sheetData>
      <sheetData sheetId="35">
        <row r="4">
          <cell r="E4">
            <v>0</v>
          </cell>
        </row>
      </sheetData>
      <sheetData sheetId="36"/>
      <sheetData sheetId="37">
        <row r="4">
          <cell r="E4">
            <v>0</v>
          </cell>
        </row>
      </sheetData>
      <sheetData sheetId="38">
        <row r="4">
          <cell r="E4">
            <v>0</v>
          </cell>
        </row>
      </sheetData>
      <sheetData sheetId="39"/>
      <sheetData sheetId="40">
        <row r="4">
          <cell r="E4">
            <v>0</v>
          </cell>
        </row>
      </sheetData>
      <sheetData sheetId="41">
        <row r="4">
          <cell r="E4">
            <v>0</v>
          </cell>
        </row>
      </sheetData>
      <sheetData sheetId="42">
        <row r="4">
          <cell r="E4">
            <v>0</v>
          </cell>
        </row>
      </sheetData>
      <sheetData sheetId="43">
        <row r="4">
          <cell r="E4">
            <v>0</v>
          </cell>
        </row>
      </sheetData>
      <sheetData sheetId="44">
        <row r="4">
          <cell r="E4">
            <v>0</v>
          </cell>
        </row>
      </sheetData>
      <sheetData sheetId="45">
        <row r="4">
          <cell r="E4">
            <v>0</v>
          </cell>
        </row>
      </sheetData>
      <sheetData sheetId="46">
        <row r="4">
          <cell r="E4">
            <v>0</v>
          </cell>
        </row>
      </sheetData>
      <sheetData sheetId="47">
        <row r="4">
          <cell r="E4">
            <v>0</v>
          </cell>
        </row>
      </sheetData>
      <sheetData sheetId="48">
        <row r="4">
          <cell r="E4">
            <v>0</v>
          </cell>
        </row>
      </sheetData>
      <sheetData sheetId="49">
        <row r="4">
          <cell r="E4">
            <v>0</v>
          </cell>
        </row>
      </sheetData>
      <sheetData sheetId="50">
        <row r="4">
          <cell r="E4">
            <v>0</v>
          </cell>
        </row>
      </sheetData>
      <sheetData sheetId="51">
        <row r="4">
          <cell r="E4">
            <v>0</v>
          </cell>
        </row>
      </sheetData>
      <sheetData sheetId="52">
        <row r="4">
          <cell r="E4">
            <v>0</v>
          </cell>
        </row>
      </sheetData>
      <sheetData sheetId="53">
        <row r="4">
          <cell r="E4">
            <v>0</v>
          </cell>
        </row>
      </sheetData>
      <sheetData sheetId="54">
        <row r="4">
          <cell r="E4">
            <v>0</v>
          </cell>
        </row>
      </sheetData>
      <sheetData sheetId="55">
        <row r="4">
          <cell r="E4">
            <v>0</v>
          </cell>
        </row>
      </sheetData>
      <sheetData sheetId="56">
        <row r="9">
          <cell r="C9">
            <v>0</v>
          </cell>
        </row>
      </sheetData>
      <sheetData sheetId="57">
        <row r="138">
          <cell r="D138">
            <v>9.916500000000001</v>
          </cell>
        </row>
      </sheetData>
      <sheetData sheetId="58">
        <row r="152">
          <cell r="D152">
            <v>52.144166666666671</v>
          </cell>
        </row>
      </sheetData>
      <sheetData sheetId="59">
        <row r="152">
          <cell r="D152">
            <v>0</v>
          </cell>
        </row>
      </sheetData>
      <sheetData sheetId="60"/>
      <sheetData sheetId="61">
        <row r="158">
          <cell r="C158">
            <v>0</v>
          </cell>
        </row>
      </sheetData>
      <sheetData sheetId="62">
        <row r="158">
          <cell r="C158">
            <v>0</v>
          </cell>
        </row>
      </sheetData>
      <sheetData sheetId="63">
        <row r="158">
          <cell r="C158">
            <v>0</v>
          </cell>
        </row>
      </sheetData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Detail byFund"/>
      <sheetName val="SummaryCashinTrust"/>
      <sheetName val="Reclass detail"/>
      <sheetName val="sorted"/>
      <sheetName val="0612"/>
    </sheetNames>
    <sheetDataSet>
      <sheetData sheetId="0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Amortization Schedule"/>
      <sheetName val="Sheet2"/>
      <sheetName val="Sheet1"/>
    </sheetNames>
    <sheetDataSet>
      <sheetData sheetId="0">
        <row r="5">
          <cell r="E5">
            <v>3500000</v>
          </cell>
        </row>
        <row r="6">
          <cell r="E6">
            <v>3.5000000000000003E-2</v>
          </cell>
        </row>
        <row r="7">
          <cell r="E7">
            <v>10</v>
          </cell>
        </row>
        <row r="9">
          <cell r="E9">
            <v>44197</v>
          </cell>
        </row>
        <row r="17">
          <cell r="A17"/>
          <cell r="B17"/>
          <cell r="C17"/>
          <cell r="D17"/>
          <cell r="E17"/>
          <cell r="F17"/>
          <cell r="G17"/>
          <cell r="H17"/>
          <cell r="I17"/>
          <cell r="J17"/>
        </row>
        <row r="18">
          <cell r="I18">
            <v>3475598.2797216671</v>
          </cell>
        </row>
        <row r="19">
          <cell r="I19">
            <v>3451125.3877591891</v>
          </cell>
        </row>
        <row r="20">
          <cell r="I20">
            <v>3426581.1165284873</v>
          </cell>
        </row>
        <row r="21">
          <cell r="I21">
            <v>3401965.2578400294</v>
          </cell>
        </row>
        <row r="22">
          <cell r="I22">
            <v>3377277.6028970634</v>
          </cell>
        </row>
        <row r="23">
          <cell r="I23">
            <v>3352517.942293847</v>
          </cell>
        </row>
        <row r="24">
          <cell r="I24">
            <v>3327686.0660138712</v>
          </cell>
        </row>
        <row r="25">
          <cell r="I25">
            <v>3302781.763428079</v>
          </cell>
        </row>
        <row r="26">
          <cell r="I26">
            <v>3277804.8232930782</v>
          </cell>
        </row>
        <row r="27">
          <cell r="I27">
            <v>3252755.0337493503</v>
          </cell>
        </row>
        <row r="28">
          <cell r="I28">
            <v>3227632.182319453</v>
          </cell>
        </row>
        <row r="29">
          <cell r="I29">
            <v>3202436.0559062185</v>
          </cell>
        </row>
        <row r="30">
          <cell r="I30">
            <v>3177166.4407909457</v>
          </cell>
        </row>
        <row r="31">
          <cell r="I31">
            <v>3151823.1226315866</v>
          </cell>
        </row>
        <row r="32">
          <cell r="I32">
            <v>3126405.8864609292</v>
          </cell>
        </row>
        <row r="33">
          <cell r="I33">
            <v>3100914.5166847738</v>
          </cell>
        </row>
        <row r="34">
          <cell r="I34">
            <v>3075348.7970801052</v>
          </cell>
        </row>
        <row r="35">
          <cell r="I35">
            <v>3049708.5107932561</v>
          </cell>
        </row>
        <row r="36">
          <cell r="I36">
            <v>3023993.4403380705</v>
          </cell>
        </row>
        <row r="37">
          <cell r="I37">
            <v>2998203.3675940572</v>
          </cell>
        </row>
        <row r="38">
          <cell r="I38">
            <v>2972338.0738045406</v>
          </cell>
        </row>
        <row r="39">
          <cell r="I39">
            <v>2946397.3395748045</v>
          </cell>
        </row>
        <row r="40">
          <cell r="I40">
            <v>2920380.9448702317</v>
          </cell>
        </row>
        <row r="41">
          <cell r="I41">
            <v>2894288.6690144371</v>
          </cell>
        </row>
        <row r="42">
          <cell r="I42">
            <v>2868120.2906873962</v>
          </cell>
        </row>
        <row r="43">
          <cell r="I43">
            <v>2841875.5879235682</v>
          </cell>
        </row>
        <row r="44">
          <cell r="I44">
            <v>2815554.3381100125</v>
          </cell>
        </row>
        <row r="45">
          <cell r="I45">
            <v>2789156.3179845004</v>
          </cell>
        </row>
        <row r="46">
          <cell r="I46">
            <v>2762681.3036336224</v>
          </cell>
        </row>
        <row r="47">
          <cell r="I47">
            <v>2736129.0704908874</v>
          </cell>
        </row>
        <row r="48">
          <cell r="I48">
            <v>2709499.3933348195</v>
          </cell>
        </row>
        <row r="49">
          <cell r="I49">
            <v>2682792.0462870467</v>
          </cell>
        </row>
        <row r="50">
          <cell r="I50">
            <v>2656006.8028103844</v>
          </cell>
        </row>
        <row r="51">
          <cell r="I51">
            <v>2629143.4357069153</v>
          </cell>
        </row>
        <row r="52">
          <cell r="I52">
            <v>2602201.7171160611</v>
          </cell>
        </row>
        <row r="53">
          <cell r="I53">
            <v>2575181.4185126503</v>
          </cell>
        </row>
        <row r="54">
          <cell r="I54">
            <v>2548082.3107049796</v>
          </cell>
        </row>
        <row r="55">
          <cell r="I55">
            <v>2520904.1638328694</v>
          </cell>
        </row>
        <row r="56">
          <cell r="I56">
            <v>2493646.7473657159</v>
          </cell>
        </row>
        <row r="57">
          <cell r="I57">
            <v>2466309.8301005331</v>
          </cell>
        </row>
        <row r="58">
          <cell r="I58">
            <v>2438893.1801599935</v>
          </cell>
        </row>
        <row r="59">
          <cell r="I59">
            <v>2411396.5649904604</v>
          </cell>
        </row>
        <row r="60">
          <cell r="I60">
            <v>2383819.7513600164</v>
          </cell>
        </row>
        <row r="61">
          <cell r="I61">
            <v>2356162.5053564836</v>
          </cell>
        </row>
        <row r="62">
          <cell r="I62">
            <v>2328424.5923854406</v>
          </cell>
        </row>
        <row r="63">
          <cell r="I63">
            <v>2300605.777168232</v>
          </cell>
        </row>
        <row r="64">
          <cell r="I64">
            <v>2272705.8237399734</v>
          </cell>
        </row>
        <row r="65">
          <cell r="I65">
            <v>2244724.4954475486</v>
          </cell>
        </row>
        <row r="66">
          <cell r="I66">
            <v>2216661.5549476044</v>
          </cell>
        </row>
        <row r="67">
          <cell r="I67">
            <v>2188516.7642045356</v>
          </cell>
        </row>
        <row r="68">
          <cell r="I68">
            <v>2160289.8844884662</v>
          </cell>
        </row>
        <row r="69">
          <cell r="I69">
            <v>2131980.6763732247</v>
          </cell>
        </row>
        <row r="70">
          <cell r="I70">
            <v>2103588.8997343136</v>
          </cell>
        </row>
        <row r="71">
          <cell r="I71">
            <v>2075114.3137468726</v>
          </cell>
        </row>
        <row r="72">
          <cell r="I72">
            <v>2046556.6768836349</v>
          </cell>
        </row>
        <row r="73">
          <cell r="I73">
            <v>2017915.7469128794</v>
          </cell>
        </row>
        <row r="74">
          <cell r="I74">
            <v>1989191.2808963759</v>
          </cell>
        </row>
        <row r="75">
          <cell r="I75">
            <v>1960383.035187324</v>
          </cell>
        </row>
        <row r="76">
          <cell r="I76">
            <v>1931490.7654282877</v>
          </cell>
        </row>
        <row r="77">
          <cell r="I77">
            <v>1902514.2265491206</v>
          </cell>
        </row>
        <row r="78">
          <cell r="I78">
            <v>1873453.1727648894</v>
          </cell>
        </row>
        <row r="79">
          <cell r="I79">
            <v>1844307.3575737874</v>
          </cell>
        </row>
        <row r="80">
          <cell r="I80">
            <v>1815076.5337550449</v>
          </cell>
        </row>
        <row r="81">
          <cell r="I81">
            <v>1785760.4533668309</v>
          </cell>
        </row>
        <row r="82">
          <cell r="I82">
            <v>1756358.8677441513</v>
          </cell>
        </row>
        <row r="83">
          <cell r="I83">
            <v>1726871.5274967388</v>
          </cell>
        </row>
        <row r="84">
          <cell r="I84">
            <v>1697298.1825069382</v>
          </cell>
        </row>
        <row r="85">
          <cell r="I85">
            <v>1667638.581927584</v>
          </cell>
        </row>
        <row r="86">
          <cell r="I86">
            <v>1637892.4741798732</v>
          </cell>
        </row>
        <row r="87">
          <cell r="I87">
            <v>1608059.6069512316</v>
          </cell>
        </row>
        <row r="88">
          <cell r="I88">
            <v>1578139.7271931733</v>
          </cell>
        </row>
        <row r="89">
          <cell r="I89">
            <v>1548132.5811191539</v>
          </cell>
        </row>
        <row r="90">
          <cell r="I90">
            <v>1518037.9142024186</v>
          </cell>
        </row>
        <row r="91">
          <cell r="I91">
            <v>1487855.4711738429</v>
          </cell>
        </row>
        <row r="92">
          <cell r="I92">
            <v>1457584.9960197671</v>
          </cell>
        </row>
        <row r="93">
          <cell r="I93">
            <v>1427226.2319798253</v>
          </cell>
        </row>
        <row r="94">
          <cell r="I94">
            <v>1396778.921544767</v>
          </cell>
        </row>
        <row r="95">
          <cell r="I95">
            <v>1366242.8064542732</v>
          </cell>
        </row>
        <row r="96">
          <cell r="I96">
            <v>1335617.6276947653</v>
          </cell>
        </row>
        <row r="97">
          <cell r="I97">
            <v>1304903.1254972089</v>
          </cell>
        </row>
        <row r="98">
          <cell r="I98">
            <v>1274099.0393349095</v>
          </cell>
        </row>
        <row r="99">
          <cell r="I99">
            <v>1243205.1079213035</v>
          </cell>
        </row>
        <row r="100">
          <cell r="I100">
            <v>1212221.0692077412</v>
          </cell>
        </row>
        <row r="101">
          <cell r="I101">
            <v>1181146.6603812643</v>
          </cell>
        </row>
        <row r="102">
          <cell r="I102">
            <v>1149981.6178623769</v>
          </cell>
        </row>
        <row r="103">
          <cell r="I103">
            <v>1118725.6773028092</v>
          </cell>
        </row>
        <row r="104">
          <cell r="I104">
            <v>1087378.5735832762</v>
          </cell>
        </row>
        <row r="105">
          <cell r="I105">
            <v>1055940.0408112279</v>
          </cell>
        </row>
        <row r="106">
          <cell r="I106">
            <v>1024409.8123185944</v>
          </cell>
        </row>
        <row r="107">
          <cell r="I107">
            <v>992787.62065952411</v>
          </cell>
        </row>
        <row r="108">
          <cell r="I108">
            <v>961073.19760811492</v>
          </cell>
        </row>
        <row r="109">
          <cell r="I109">
            <v>929266.27415613912</v>
          </cell>
        </row>
        <row r="110">
          <cell r="I110">
            <v>897366.58051076171</v>
          </cell>
        </row>
        <row r="111">
          <cell r="I111">
            <v>865373.84609225194</v>
          </cell>
        </row>
        <row r="112">
          <cell r="I112">
            <v>833287.79953168822</v>
          </cell>
        </row>
        <row r="113">
          <cell r="I113">
            <v>801108.16866865614</v>
          </cell>
        </row>
        <row r="114">
          <cell r="I114">
            <v>768834.6805489402</v>
          </cell>
        </row>
        <row r="115">
          <cell r="I115">
            <v>736467.06142220844</v>
          </cell>
        </row>
        <row r="116">
          <cell r="I116">
            <v>704005.03673969035</v>
          </cell>
        </row>
        <row r="117">
          <cell r="I117">
            <v>671448.33115184831</v>
          </cell>
        </row>
        <row r="118">
          <cell r="I118">
            <v>638796.66850604175</v>
          </cell>
        </row>
        <row r="119">
          <cell r="I119">
            <v>606049.77184418484</v>
          </cell>
        </row>
        <row r="120">
          <cell r="I120">
            <v>573207.36340039759</v>
          </cell>
        </row>
        <row r="121">
          <cell r="I121">
            <v>540269.16459864925</v>
          </cell>
        </row>
        <row r="122">
          <cell r="I122">
            <v>507234.89605039579</v>
          </cell>
        </row>
        <row r="123">
          <cell r="I123">
            <v>474104.27755220997</v>
          </cell>
        </row>
        <row r="124">
          <cell r="I124">
            <v>440877.02808340441</v>
          </cell>
        </row>
        <row r="125">
          <cell r="I125">
            <v>407552.86580364819</v>
          </cell>
        </row>
        <row r="126">
          <cell r="I126">
            <v>374131.50805057603</v>
          </cell>
        </row>
        <row r="127">
          <cell r="I127">
            <v>340612.67133739073</v>
          </cell>
        </row>
        <row r="128">
          <cell r="I128">
            <v>306996.0713504586</v>
          </cell>
        </row>
        <row r="129">
          <cell r="I129">
            <v>273281.42294689792</v>
          </cell>
        </row>
        <row r="130">
          <cell r="I130">
            <v>239468.44015216021</v>
          </cell>
        </row>
        <row r="131">
          <cell r="I131">
            <v>205556.83615760453</v>
          </cell>
        </row>
        <row r="132">
          <cell r="I132">
            <v>171546.32331806471</v>
          </cell>
        </row>
        <row r="133">
          <cell r="I133">
            <v>137436.61314940956</v>
          </cell>
        </row>
        <row r="134">
          <cell r="I134">
            <v>103227.41632609584</v>
          </cell>
        </row>
        <row r="135">
          <cell r="I135">
            <v>68918.442678714127</v>
          </cell>
        </row>
        <row r="136">
          <cell r="I136">
            <v>34509.401191527548</v>
          </cell>
        </row>
        <row r="137">
          <cell r="I137">
            <v>0</v>
          </cell>
        </row>
        <row r="138"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0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4">
          <cell r="I424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6">
          <cell r="I446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0">
          <cell r="I450">
            <v>0</v>
          </cell>
        </row>
        <row r="451">
          <cell r="I451">
            <v>0</v>
          </cell>
        </row>
        <row r="452">
          <cell r="I452">
            <v>0</v>
          </cell>
        </row>
        <row r="453">
          <cell r="I453">
            <v>0</v>
          </cell>
        </row>
        <row r="454">
          <cell r="I454">
            <v>0</v>
          </cell>
        </row>
        <row r="455">
          <cell r="I455">
            <v>0</v>
          </cell>
        </row>
        <row r="456">
          <cell r="I456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  <row r="468">
          <cell r="I468">
            <v>0</v>
          </cell>
        </row>
        <row r="469">
          <cell r="I469">
            <v>0</v>
          </cell>
        </row>
        <row r="470">
          <cell r="I470">
            <v>0</v>
          </cell>
        </row>
        <row r="471">
          <cell r="I471">
            <v>0</v>
          </cell>
        </row>
        <row r="472">
          <cell r="I472">
            <v>0</v>
          </cell>
        </row>
        <row r="473">
          <cell r="I473">
            <v>0</v>
          </cell>
        </row>
        <row r="474">
          <cell r="I474">
            <v>0</v>
          </cell>
        </row>
        <row r="475">
          <cell r="I475">
            <v>0</v>
          </cell>
        </row>
        <row r="476">
          <cell r="I476">
            <v>0</v>
          </cell>
        </row>
        <row r="477">
          <cell r="I477">
            <v>0</v>
          </cell>
        </row>
        <row r="478">
          <cell r="I478">
            <v>0</v>
          </cell>
        </row>
        <row r="479">
          <cell r="I479">
            <v>0</v>
          </cell>
        </row>
        <row r="480">
          <cell r="I480">
            <v>0</v>
          </cell>
        </row>
        <row r="481">
          <cell r="I481">
            <v>0</v>
          </cell>
        </row>
        <row r="482">
          <cell r="I482">
            <v>0</v>
          </cell>
        </row>
        <row r="483">
          <cell r="I483">
            <v>0</v>
          </cell>
        </row>
        <row r="484">
          <cell r="I484">
            <v>0</v>
          </cell>
        </row>
        <row r="485">
          <cell r="I485">
            <v>0</v>
          </cell>
        </row>
        <row r="486">
          <cell r="I486">
            <v>0</v>
          </cell>
        </row>
        <row r="487">
          <cell r="I487">
            <v>0</v>
          </cell>
        </row>
        <row r="488">
          <cell r="I488">
            <v>0</v>
          </cell>
        </row>
        <row r="489">
          <cell r="I489">
            <v>0</v>
          </cell>
        </row>
        <row r="490">
          <cell r="I490">
            <v>0</v>
          </cell>
        </row>
        <row r="491">
          <cell r="I491">
            <v>0</v>
          </cell>
        </row>
        <row r="492">
          <cell r="I492">
            <v>0</v>
          </cell>
        </row>
        <row r="493">
          <cell r="I493">
            <v>0</v>
          </cell>
        </row>
        <row r="494">
          <cell r="I494">
            <v>0</v>
          </cell>
        </row>
        <row r="495">
          <cell r="I495">
            <v>0</v>
          </cell>
        </row>
        <row r="496">
          <cell r="I496">
            <v>0</v>
          </cell>
        </row>
        <row r="497">
          <cell r="I497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"/>
      <sheetName val="Cash Flow Statement"/>
      <sheetName val="2002 Cash Flow Worksheet"/>
      <sheetName val="Tickmarks"/>
    </sheetNames>
    <sheetDataSet>
      <sheetData sheetId="0"/>
      <sheetData sheetId="1">
        <row r="55">
          <cell r="D55">
            <v>-221565474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ng-Term Pool"/>
      <sheetName val="Pelotonia"/>
      <sheetName val="Clifton"/>
      <sheetName val="2013"/>
      <sheetName val="period998"/>
      <sheetName val="manual entries"/>
      <sheetName val="comp"/>
      <sheetName val="Balance Sheet"/>
      <sheetName val="Income Statement"/>
      <sheetName val="Statement of Rev, Exp"/>
      <sheetName val="Bal current &amp; noncurrent"/>
      <sheetName val="Statement Net Assets"/>
      <sheetName val="Cash Flow Statement"/>
      <sheetName val="Cash Flows"/>
      <sheetName val="2012 Cash Flow Worksheet"/>
      <sheetName val="reserve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ss_Steps"/>
      <sheetName val="SummarySchedules"/>
      <sheetName val="25_26_FGP_Rates"/>
      <sheetName val="fy_24_26_projected_rates_cash"/>
      <sheetName val="fy25_est_bnft_projection"/>
      <sheetName val="fy26_est_bnft_projection"/>
      <sheetName val="fy27_est_bnft_projection"/>
      <sheetName val="fy26_OSP_Proposed_Rates"/>
      <sheetName val="rate_stabilization_DR_CR"/>
      <sheetName val="fy26_summary_bnft_projection"/>
      <sheetName val="fy26_bnft_proj_by_component"/>
      <sheetName val="FY25_HR_cost_estimates"/>
      <sheetName val="FY24_HR_cost_estimates"/>
      <sheetName val="FY23_HR_cost_estimates"/>
      <sheetName val="FY22_HR_cost_estimates"/>
      <sheetName val="FY20_HR_cost_estimates"/>
      <sheetName val="FY19_HR_cost_estimates"/>
      <sheetName val="fy26_salary_projection"/>
      <sheetName val="FY24_Salary"/>
      <sheetName val="FY24_OSP_Salary"/>
      <sheetName val="FY21_Salary"/>
      <sheetName val="FY20_OSP_Salary"/>
      <sheetName val="FY24_Alloc_Actual_Bnft_Cost"/>
      <sheetName val="FY24_actuals_summary"/>
      <sheetName val="FY24_actuals_by_project"/>
      <sheetName val="FY22_actuals_updated_080422"/>
      <sheetName val="FY21_actuals_updated_120821"/>
      <sheetName val="FY20_actuals_by_fund"/>
      <sheetName val="FY24_bnft_charges"/>
      <sheetName val="FY24_ben_admin"/>
      <sheetName val="FY23_ben_admin"/>
      <sheetName val="FY22_ben_admin"/>
      <sheetName val="FY21_ben_admin"/>
      <sheetName val="FY20_ben_admin"/>
      <sheetName val="24_osp_vac_sick_payouts"/>
      <sheetName val="23_osp_vac_sick_payouts"/>
      <sheetName val="22_osp_vac_sick_payouts"/>
      <sheetName val="21_osp_vac_sick_payouts"/>
      <sheetName val="20_OSP_Vac_Sick"/>
      <sheetName val="19_OSP_Vac_Sick"/>
      <sheetName val="18_OSP_Vac_Sick"/>
      <sheetName val="17_OSP_Vac_Sick"/>
      <sheetName val="FTE_Summary_093023"/>
      <sheetName val="FTE_Summary_010923"/>
      <sheetName val="SUMFTE_Total_Univ_AU2020"/>
      <sheetName val="SUMFTE_Total_Univ_AU2019"/>
      <sheetName val="SUMFTE_Total_Univ_AU2018"/>
      <sheetName val="AU17_FTE_Total"/>
      <sheetName val="AU16_FTE_Total"/>
      <sheetName val="AU15_FTE_Total"/>
      <sheetName val="AU15_FTE_FGP"/>
      <sheetName val="SP15_FTE_Total"/>
      <sheetName val="SP15_FTE_FGP"/>
      <sheetName val="cash_liab_analysis_123124"/>
      <sheetName val="123124_PR_Accrual_Summary"/>
      <sheetName val="cash_liab_analysis_113023"/>
      <sheetName val="113023_PR_Accrual_Summary"/>
      <sheetName val="cash_liab_analysis_123122"/>
      <sheetName val="123122_PR_Accrual_Summary"/>
      <sheetName val="cash_liab_analysis_123121"/>
      <sheetName val="cash_liab_analysis_123120"/>
      <sheetName val="cash_liab_analysis_123119"/>
      <sheetName val="cash_liab_analysis_123118"/>
      <sheetName val="cash_liab_analysis_113017"/>
      <sheetName val="cash_liab_analysis_123117"/>
      <sheetName val="cash_liab_analysis_123116"/>
      <sheetName val="cash_liab_analysis_123115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1">
          <cell r="B21">
            <v>0.13750000000000001</v>
          </cell>
        </row>
        <row r="38">
          <cell r="B38">
            <v>0.13750000000000001</v>
          </cell>
        </row>
        <row r="57">
          <cell r="B57">
            <v>1.4544136932346099E-2</v>
          </cell>
        </row>
        <row r="73">
          <cell r="B73">
            <v>2.8204012763591983E-3</v>
          </cell>
        </row>
        <row r="89">
          <cell r="B89">
            <v>2.355724421298513E-3</v>
          </cell>
        </row>
        <row r="105">
          <cell r="B105">
            <v>1.9952358182896715E-4</v>
          </cell>
        </row>
        <row r="121">
          <cell r="B121">
            <v>1.0226504318246652E-3</v>
          </cell>
        </row>
        <row r="137">
          <cell r="B137">
            <v>2.6291156749372623E-3</v>
          </cell>
        </row>
        <row r="153">
          <cell r="B153">
            <v>2.4477997875525614E-3</v>
          </cell>
        </row>
        <row r="169">
          <cell r="B169">
            <v>0.12290816451116524</v>
          </cell>
        </row>
        <row r="186">
          <cell r="B186">
            <v>14389.175818345839</v>
          </cell>
        </row>
        <row r="204">
          <cell r="B204">
            <v>4.7660967127975118</v>
          </cell>
        </row>
        <row r="216">
          <cell r="B216">
            <v>319.67721854129655</v>
          </cell>
        </row>
        <row r="232">
          <cell r="B232">
            <v>36.008649662969468</v>
          </cell>
        </row>
        <row r="248">
          <cell r="B248">
            <v>518.17509227683331</v>
          </cell>
        </row>
        <row r="264">
          <cell r="B264">
            <v>808.18782035098036</v>
          </cell>
        </row>
        <row r="280">
          <cell r="B280">
            <v>362.4849267360255</v>
          </cell>
        </row>
      </sheetData>
      <sheetData sheetId="11">
        <row r="27">
          <cell r="C27">
            <v>146415308.50179601</v>
          </cell>
        </row>
        <row r="28">
          <cell r="C28">
            <v>311292714.90482402</v>
          </cell>
        </row>
        <row r="29">
          <cell r="C29">
            <v>27200635.069272</v>
          </cell>
        </row>
        <row r="30">
          <cell r="C30">
            <v>53211668.152199998</v>
          </cell>
        </row>
        <row r="31">
          <cell r="C31">
            <v>431199763.70587212</v>
          </cell>
        </row>
        <row r="32">
          <cell r="C32">
            <v>396098.51</v>
          </cell>
        </row>
        <row r="33">
          <cell r="C33">
            <v>8920013.2352999989</v>
          </cell>
        </row>
        <row r="34">
          <cell r="C34">
            <v>7654559.1717240009</v>
          </cell>
        </row>
        <row r="35">
          <cell r="C35">
            <v>7818485.3552159993</v>
          </cell>
        </row>
        <row r="36">
          <cell r="C36">
            <v>520033.09903199959</v>
          </cell>
        </row>
        <row r="37">
          <cell r="C37">
            <v>6568770.5999999996</v>
          </cell>
        </row>
        <row r="38">
          <cell r="C38">
            <v>1403517.9626610002</v>
          </cell>
        </row>
        <row r="39">
          <cell r="C39">
            <v>16835446.978105001</v>
          </cell>
        </row>
        <row r="40">
          <cell r="C40">
            <v>50000</v>
          </cell>
        </row>
        <row r="41">
          <cell r="G41">
            <v>17476459.140009608</v>
          </cell>
        </row>
        <row r="42">
          <cell r="C42">
            <v>23834051.409999996</v>
          </cell>
        </row>
        <row r="43">
          <cell r="C43">
            <v>11492356.749011997</v>
          </cell>
        </row>
        <row r="44">
          <cell r="C44">
            <v>11000000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8">
          <cell r="H18">
            <v>98715015.868409976</v>
          </cell>
        </row>
        <row r="23">
          <cell r="N23">
            <v>50432105.82</v>
          </cell>
        </row>
        <row r="25">
          <cell r="H25">
            <v>3.5000000000000003E-2</v>
          </cell>
        </row>
        <row r="27">
          <cell r="H27">
            <v>3.5000000000000003E-2</v>
          </cell>
        </row>
        <row r="29">
          <cell r="B29">
            <v>61629254.305728734</v>
          </cell>
          <cell r="C29">
            <v>136652453.59258348</v>
          </cell>
          <cell r="D29">
            <v>0</v>
          </cell>
          <cell r="E29">
            <v>25791949.562602494</v>
          </cell>
          <cell r="H29">
            <v>57455668.477016993</v>
          </cell>
        </row>
        <row r="32">
          <cell r="B32">
            <v>648415528.90868688</v>
          </cell>
          <cell r="C32">
            <v>1137108007.1533835</v>
          </cell>
          <cell r="D32">
            <v>0</v>
          </cell>
          <cell r="E32">
            <v>168646208.07046726</v>
          </cell>
          <cell r="F32">
            <v>63552624.063884996</v>
          </cell>
          <cell r="G32">
            <v>0</v>
          </cell>
          <cell r="H32">
            <v>156170684.34542698</v>
          </cell>
        </row>
        <row r="34">
          <cell r="B34">
            <v>9.5045925888686836E-2</v>
          </cell>
          <cell r="C34">
            <v>0.12017543868561516</v>
          </cell>
          <cell r="D34">
            <v>0</v>
          </cell>
          <cell r="E34">
            <v>0.15293524744905954</v>
          </cell>
        </row>
        <row r="46">
          <cell r="B46">
            <v>68877641.161350012</v>
          </cell>
          <cell r="C46">
            <v>1171348085.4957004</v>
          </cell>
          <cell r="D46">
            <v>0</v>
          </cell>
          <cell r="E46">
            <v>239594849.49645007</v>
          </cell>
          <cell r="F46">
            <v>4768785.0291339997</v>
          </cell>
          <cell r="G46">
            <v>0</v>
          </cell>
          <cell r="H46">
            <v>445032.24121300003</v>
          </cell>
        </row>
        <row r="61">
          <cell r="B61">
            <v>487632489.53796667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12">
          <cell r="D12">
            <v>4876.0889249999818</v>
          </cell>
          <cell r="E12">
            <v>858.95237499999996</v>
          </cell>
          <cell r="F12">
            <v>14070.861800000011</v>
          </cell>
          <cell r="G12">
            <v>13865.668200000095</v>
          </cell>
          <cell r="H12">
            <v>734.13749999999811</v>
          </cell>
          <cell r="I12">
            <v>0</v>
          </cell>
          <cell r="J12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19C0-484A-4F59-B6FB-E59C11298765}">
  <dimension ref="A1:D28"/>
  <sheetViews>
    <sheetView tabSelected="1" workbookViewId="0">
      <selection activeCell="D19" sqref="D19"/>
    </sheetView>
  </sheetViews>
  <sheetFormatPr defaultRowHeight="12.75"/>
  <cols>
    <col min="1" max="1" width="21.85546875" bestFit="1" customWidth="1"/>
    <col min="2" max="2" width="11.28515625" style="4" bestFit="1" customWidth="1"/>
  </cols>
  <sheetData>
    <row r="1" spans="1:2">
      <c r="A1" s="1" t="s">
        <v>87</v>
      </c>
    </row>
    <row r="2" spans="1:2">
      <c r="A2" t="s">
        <v>15</v>
      </c>
      <c r="B2" s="4">
        <v>0.28499999999999998</v>
      </c>
    </row>
    <row r="3" spans="1:2">
      <c r="A3" t="s">
        <v>88</v>
      </c>
      <c r="B3" s="4">
        <v>0.36499999999999999</v>
      </c>
    </row>
    <row r="4" spans="1:2">
      <c r="A4" t="s">
        <v>20</v>
      </c>
      <c r="B4" s="4">
        <v>0.156</v>
      </c>
    </row>
    <row r="5" spans="1:2">
      <c r="A5" t="s">
        <v>22</v>
      </c>
      <c r="B5" s="4">
        <v>3.0000000000000001E-3</v>
      </c>
    </row>
    <row r="6" spans="1:2">
      <c r="A6" t="s">
        <v>26</v>
      </c>
      <c r="B6" s="4">
        <v>0.126</v>
      </c>
    </row>
    <row r="8" spans="1:2">
      <c r="A8" s="1" t="s">
        <v>89</v>
      </c>
    </row>
    <row r="9" spans="1:2">
      <c r="A9" t="s">
        <v>15</v>
      </c>
      <c r="B9" s="4">
        <v>0.36699999999999999</v>
      </c>
    </row>
    <row r="10" spans="1:2">
      <c r="A10" t="s">
        <v>88</v>
      </c>
      <c r="B10" s="4">
        <v>0.35699999999999998</v>
      </c>
    </row>
    <row r="11" spans="1:2">
      <c r="A11" t="s">
        <v>20</v>
      </c>
      <c r="B11" s="4">
        <v>0.157</v>
      </c>
    </row>
    <row r="12" spans="1:2">
      <c r="A12" t="s">
        <v>22</v>
      </c>
      <c r="B12" s="4">
        <v>5.0000000000000001E-3</v>
      </c>
    </row>
    <row r="13" spans="1:2">
      <c r="A13" t="s">
        <v>26</v>
      </c>
      <c r="B13" s="4">
        <v>0.128</v>
      </c>
    </row>
    <row r="15" spans="1:2">
      <c r="A15" s="1" t="s">
        <v>90</v>
      </c>
    </row>
    <row r="16" spans="1:2">
      <c r="A16" t="s">
        <v>15</v>
      </c>
      <c r="B16" s="4">
        <v>0.28299999999999997</v>
      </c>
    </row>
    <row r="17" spans="1:4">
      <c r="A17" t="s">
        <v>88</v>
      </c>
      <c r="B17" s="4">
        <v>0.36199999999999999</v>
      </c>
    </row>
    <row r="18" spans="1:4">
      <c r="A18" t="s">
        <v>20</v>
      </c>
      <c r="B18" s="4">
        <v>0.158</v>
      </c>
    </row>
    <row r="19" spans="1:4">
      <c r="A19" t="s">
        <v>22</v>
      </c>
      <c r="B19" s="4">
        <v>0.14599999999999999</v>
      </c>
      <c r="D19" s="2"/>
    </row>
    <row r="21" spans="1:4">
      <c r="A21" s="1" t="s">
        <v>91</v>
      </c>
    </row>
    <row r="22" spans="1:4">
      <c r="A22" t="s">
        <v>92</v>
      </c>
      <c r="B22" s="4">
        <v>0.14799999999999999</v>
      </c>
    </row>
    <row r="23" spans="1:4">
      <c r="A23" t="s">
        <v>93</v>
      </c>
      <c r="B23" s="4">
        <v>0.19800000000000001</v>
      </c>
    </row>
    <row r="24" spans="1:4">
      <c r="A24" t="s">
        <v>95</v>
      </c>
      <c r="B24" s="4">
        <v>0.188</v>
      </c>
    </row>
    <row r="25" spans="1:4">
      <c r="A25" t="s">
        <v>94</v>
      </c>
      <c r="B25" s="4">
        <v>0.24199999999999999</v>
      </c>
    </row>
    <row r="27" spans="1:4">
      <c r="A27" s="1" t="s">
        <v>228</v>
      </c>
      <c r="B27" s="43" t="s">
        <v>251</v>
      </c>
      <c r="C27" s="44" t="s">
        <v>90</v>
      </c>
    </row>
    <row r="28" spans="1:4">
      <c r="B28" s="4">
        <v>0.18</v>
      </c>
      <c r="C28" s="4">
        <f>B18</f>
        <v>0.158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27037-887D-45DE-9EDD-76F52A879AC0}">
  <dimension ref="A1:R2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0" sqref="B10"/>
    </sheetView>
  </sheetViews>
  <sheetFormatPr defaultRowHeight="12.75"/>
  <cols>
    <col min="1" max="1" width="23.140625" bestFit="1" customWidth="1"/>
    <col min="2" max="6" width="10.7109375" customWidth="1"/>
    <col min="7" max="7" width="3.5703125" customWidth="1"/>
    <col min="8" max="12" width="10.7109375" customWidth="1"/>
    <col min="13" max="13" width="3.140625" customWidth="1"/>
    <col min="14" max="14" width="23.140625" bestFit="1" customWidth="1"/>
    <col min="15" max="18" width="10.7109375" customWidth="1"/>
  </cols>
  <sheetData>
    <row r="1" spans="1:18">
      <c r="O1" t="s">
        <v>91</v>
      </c>
    </row>
    <row r="2" spans="1:18">
      <c r="B2" s="25" t="s">
        <v>118</v>
      </c>
      <c r="C2" s="24"/>
      <c r="D2" s="24"/>
      <c r="E2" s="24"/>
      <c r="F2" s="24"/>
      <c r="H2" s="25" t="s">
        <v>31</v>
      </c>
      <c r="I2" s="24"/>
      <c r="J2" s="24"/>
      <c r="K2" s="24"/>
      <c r="L2" s="24"/>
      <c r="O2" s="25"/>
      <c r="P2" s="25"/>
      <c r="Q2" s="2" t="s">
        <v>147</v>
      </c>
      <c r="R2" s="25"/>
    </row>
    <row r="3" spans="1:18">
      <c r="B3" s="2" t="s">
        <v>7</v>
      </c>
      <c r="C3" s="2" t="s">
        <v>115</v>
      </c>
      <c r="D3" s="2" t="s">
        <v>9</v>
      </c>
      <c r="E3" s="2" t="s">
        <v>116</v>
      </c>
      <c r="F3" s="2" t="s">
        <v>117</v>
      </c>
      <c r="H3" s="2" t="s">
        <v>7</v>
      </c>
      <c r="I3" s="2" t="s">
        <v>115</v>
      </c>
      <c r="J3" s="2" t="s">
        <v>9</v>
      </c>
      <c r="K3" s="2" t="s">
        <v>116</v>
      </c>
      <c r="L3" s="2" t="s">
        <v>117</v>
      </c>
      <c r="O3" s="2"/>
      <c r="P3" s="2"/>
      <c r="Q3" s="2" t="s">
        <v>148</v>
      </c>
      <c r="R3" s="2"/>
    </row>
    <row r="4" spans="1:18">
      <c r="B4" s="2" t="s">
        <v>15</v>
      </c>
      <c r="C4" s="2" t="s">
        <v>88</v>
      </c>
      <c r="D4" s="2" t="s">
        <v>20</v>
      </c>
      <c r="E4" s="2" t="s">
        <v>22</v>
      </c>
      <c r="F4" s="2" t="s">
        <v>26</v>
      </c>
      <c r="H4" s="2" t="s">
        <v>15</v>
      </c>
      <c r="I4" s="2" t="s">
        <v>88</v>
      </c>
      <c r="J4" s="2" t="s">
        <v>20</v>
      </c>
      <c r="K4" s="2" t="s">
        <v>22</v>
      </c>
      <c r="L4" s="2" t="s">
        <v>26</v>
      </c>
      <c r="O4" s="2" t="s">
        <v>92</v>
      </c>
      <c r="P4" s="2" t="s">
        <v>93</v>
      </c>
      <c r="Q4" s="2" t="s">
        <v>149</v>
      </c>
      <c r="R4" s="2" t="s">
        <v>94</v>
      </c>
    </row>
    <row r="5" spans="1:18">
      <c r="A5" s="19" t="s">
        <v>38</v>
      </c>
      <c r="B5" s="4">
        <f>ROUND(((fy26_summary_bnft_projection!D18-fy26_summary_bnft_projection!D56)/fy26_summary_bnft_projection!$D$44),3)</f>
        <v>0.13800000000000001</v>
      </c>
      <c r="C5" s="4">
        <v>0</v>
      </c>
      <c r="D5" s="4">
        <f>ROUND(((fy26_summary_bnft_projection!K18-fy26_summary_bnft_projection!G56)/fy26_summary_bnft_projection!$K$44),3)</f>
        <v>0.13800000000000001</v>
      </c>
      <c r="E5" s="4">
        <v>0</v>
      </c>
      <c r="F5" s="4">
        <v>0</v>
      </c>
      <c r="H5" s="4">
        <f>ROUND((fy26_summary_bnft_projection!E18/fy26_summary_bnft_projection!$E$13),3)</f>
        <v>0.13800000000000001</v>
      </c>
      <c r="I5" s="4">
        <f>ROUND((fy26_summary_bnft_projection!G18/fy26_summary_bnft_projection!$G$13),3)</f>
        <v>0</v>
      </c>
      <c r="J5" s="4">
        <f>ROUND((fy26_summary_bnft_projection!L18/fy26_summary_bnft_projection!$L$13),3)-0.0006</f>
        <v>0.13740000000000002</v>
      </c>
      <c r="K5" s="4">
        <v>0</v>
      </c>
      <c r="L5" s="4">
        <v>0</v>
      </c>
      <c r="N5" s="19" t="s">
        <v>38</v>
      </c>
      <c r="O5" s="4">
        <v>0.1</v>
      </c>
      <c r="P5" s="4">
        <v>0.15</v>
      </c>
      <c r="Q5" s="4">
        <v>0</v>
      </c>
      <c r="R5" s="4">
        <v>0.19400000000000001</v>
      </c>
    </row>
    <row r="6" spans="1:18">
      <c r="A6" s="20" t="s">
        <v>40</v>
      </c>
      <c r="B6" s="4">
        <v>0</v>
      </c>
      <c r="C6" s="4">
        <f>ROUND(((fy26_summary_bnft_projection!F19-fy26_summary_bnft_projection!E57)/fy26_summary_bnft_projection!$F$44),3)</f>
        <v>0.13800000000000001</v>
      </c>
      <c r="D6" s="4">
        <v>0</v>
      </c>
      <c r="E6" s="4">
        <v>0</v>
      </c>
      <c r="F6" s="4">
        <v>0</v>
      </c>
      <c r="H6" s="4">
        <f>ROUND((fy26_summary_bnft_projection!E19/fy26_summary_bnft_projection!$E$13),3)</f>
        <v>0</v>
      </c>
      <c r="I6" s="4">
        <f>ROUND((fy26_summary_bnft_projection!G19/fy26_summary_bnft_projection!$G$13),3)</f>
        <v>0.13800000000000001</v>
      </c>
      <c r="J6" s="4">
        <f>ROUND((fy26_summary_bnft_projection!L19/fy26_summary_bnft_projection!$L$13),3)</f>
        <v>0</v>
      </c>
      <c r="K6" s="4">
        <v>0</v>
      </c>
      <c r="L6" s="4">
        <v>0</v>
      </c>
      <c r="N6" s="20" t="s">
        <v>147</v>
      </c>
      <c r="O6" s="4">
        <v>0</v>
      </c>
      <c r="P6" s="4">
        <v>0</v>
      </c>
      <c r="Q6" s="4">
        <v>0.14000000000000001</v>
      </c>
      <c r="R6" s="4">
        <v>0</v>
      </c>
    </row>
    <row r="7" spans="1:18">
      <c r="A7" s="20" t="s">
        <v>96</v>
      </c>
      <c r="B7" s="4">
        <f>ROUND(((fy26_summary_bnft_projection!D20-fy26_summary_bnft_projection!D58)/fy26_summary_bnft_projection!$D$44),3)</f>
        <v>1.4999999999999999E-2</v>
      </c>
      <c r="C7" s="4">
        <f>ROUND(((fy26_summary_bnft_projection!F20-fy26_summary_bnft_projection!E58)/fy26_summary_bnft_projection!$F$44),3)</f>
        <v>1.4999999999999999E-2</v>
      </c>
      <c r="D7" s="4">
        <f>ROUND(((fy26_summary_bnft_projection!K20-fy26_summary_bnft_projection!G58)/fy26_summary_bnft_projection!$K$44),3)</f>
        <v>1.4999999999999999E-2</v>
      </c>
      <c r="E7" s="4">
        <v>0</v>
      </c>
      <c r="F7" s="4">
        <v>0</v>
      </c>
      <c r="H7" s="4">
        <f>ROUND((fy26_summary_bnft_projection!E20/fy26_summary_bnft_projection!$E$13),3)</f>
        <v>1.4999999999999999E-2</v>
      </c>
      <c r="I7" s="4">
        <f>ROUND((fy26_summary_bnft_projection!G20/fy26_summary_bnft_projection!$G$13),3)</f>
        <v>1.4999999999999999E-2</v>
      </c>
      <c r="J7" s="4">
        <f>ROUND((fy26_summary_bnft_projection!L20/fy26_summary_bnft_projection!$L$13),3)</f>
        <v>1.4999999999999999E-2</v>
      </c>
      <c r="K7" s="4">
        <v>0</v>
      </c>
      <c r="L7" s="4">
        <v>0</v>
      </c>
      <c r="N7" s="20" t="s">
        <v>96</v>
      </c>
      <c r="O7" s="4">
        <f>ROUND((fy26_summary_bnft_projection!H20/fy26_summary_bnft_projection!$H$13),3)</f>
        <v>1.4999999999999999E-2</v>
      </c>
      <c r="P7" s="4">
        <f>O7</f>
        <v>1.4999999999999999E-2</v>
      </c>
      <c r="Q7" s="4">
        <f>O7</f>
        <v>1.4999999999999999E-2</v>
      </c>
      <c r="R7" s="4">
        <f>O7</f>
        <v>1.4999999999999999E-2</v>
      </c>
    </row>
    <row r="8" spans="1:18">
      <c r="A8" s="29" t="s">
        <v>97</v>
      </c>
      <c r="B8" s="29">
        <f>ROUND(0.863*$B$13,3)</f>
        <v>9.2999999999999999E-2</v>
      </c>
      <c r="C8" s="29">
        <f>ROUND(0.863*$C$13,3)-0.0006</f>
        <v>0.15340000000000001</v>
      </c>
      <c r="D8" s="29">
        <v>0</v>
      </c>
      <c r="E8" s="29">
        <v>0</v>
      </c>
      <c r="F8" s="29">
        <v>0</v>
      </c>
      <c r="G8" s="30"/>
      <c r="H8" s="29">
        <f>ROUND(0.863*$H$13,3)-0.001</f>
        <v>0.153</v>
      </c>
      <c r="I8" s="29">
        <f>ROUND(0.863*$I$13,3)-0.001</f>
        <v>0.14599999999999999</v>
      </c>
      <c r="J8" s="29">
        <v>0</v>
      </c>
      <c r="K8" s="29">
        <v>0</v>
      </c>
      <c r="L8" s="29">
        <v>0</v>
      </c>
      <c r="N8" s="29" t="s">
        <v>97</v>
      </c>
      <c r="O8" s="29">
        <f>ROUND(0.863*$O13,3)-0.001</f>
        <v>1.7999999999999999E-2</v>
      </c>
      <c r="P8" s="29">
        <f t="shared" ref="P8:P24" si="0">O8</f>
        <v>1.7999999999999999E-2</v>
      </c>
      <c r="Q8" s="29">
        <f t="shared" ref="Q8:Q24" si="1">O8</f>
        <v>1.7999999999999999E-2</v>
      </c>
      <c r="R8" s="29">
        <f t="shared" ref="R8:R24" si="2">O8</f>
        <v>1.7999999999999999E-2</v>
      </c>
    </row>
    <row r="9" spans="1:18">
      <c r="A9" s="29" t="s">
        <v>98</v>
      </c>
      <c r="B9" s="29">
        <f>ROUND(0.118*$B$13,3)</f>
        <v>1.2999999999999999E-2</v>
      </c>
      <c r="C9" s="29">
        <f>ROUND(0.118*$C$13,3)</f>
        <v>2.1000000000000001E-2</v>
      </c>
      <c r="D9" s="29">
        <v>0</v>
      </c>
      <c r="E9" s="29">
        <v>0</v>
      </c>
      <c r="F9" s="29">
        <v>0</v>
      </c>
      <c r="G9" s="30"/>
      <c r="H9" s="29">
        <f>ROUND(0.118*$H$13,3)</f>
        <v>2.1000000000000001E-2</v>
      </c>
      <c r="I9" s="29">
        <f>ROUND(0.118*$I$13,3)</f>
        <v>0.02</v>
      </c>
      <c r="J9" s="29">
        <v>0</v>
      </c>
      <c r="K9" s="29">
        <v>0</v>
      </c>
      <c r="L9" s="29">
        <v>0</v>
      </c>
      <c r="N9" s="29" t="s">
        <v>98</v>
      </c>
      <c r="O9" s="29">
        <f>ROUND(0.118*$O$13,3)</f>
        <v>3.0000000000000001E-3</v>
      </c>
      <c r="P9" s="29">
        <f t="shared" si="0"/>
        <v>3.0000000000000001E-3</v>
      </c>
      <c r="Q9" s="29">
        <f t="shared" si="1"/>
        <v>3.0000000000000001E-3</v>
      </c>
      <c r="R9" s="29">
        <f t="shared" si="2"/>
        <v>3.0000000000000001E-3</v>
      </c>
    </row>
    <row r="10" spans="1:18">
      <c r="A10" s="29" t="s">
        <v>99</v>
      </c>
      <c r="B10" s="29">
        <f>ROUND(0.01*$B$13,3)</f>
        <v>1E-3</v>
      </c>
      <c r="C10" s="29">
        <f>ROUND(0.01*$C$13,3)</f>
        <v>2E-3</v>
      </c>
      <c r="D10" s="29">
        <v>0</v>
      </c>
      <c r="E10" s="29">
        <v>0</v>
      </c>
      <c r="F10" s="29">
        <v>0</v>
      </c>
      <c r="G10" s="30"/>
      <c r="H10" s="29">
        <f>ROUND(0.01*$H$13,3)</f>
        <v>2E-3</v>
      </c>
      <c r="I10" s="29">
        <f>ROUND(0.01*$I$13,3)</f>
        <v>2E-3</v>
      </c>
      <c r="J10" s="29">
        <v>0</v>
      </c>
      <c r="K10" s="29">
        <v>0</v>
      </c>
      <c r="L10" s="29">
        <v>0</v>
      </c>
      <c r="N10" s="29" t="s">
        <v>99</v>
      </c>
      <c r="O10" s="29">
        <f>ROUND(0.01*$O$13,3)+0.001</f>
        <v>1E-3</v>
      </c>
      <c r="P10" s="29">
        <f t="shared" si="0"/>
        <v>1E-3</v>
      </c>
      <c r="Q10" s="29">
        <f t="shared" si="1"/>
        <v>1E-3</v>
      </c>
      <c r="R10" s="29">
        <f t="shared" si="2"/>
        <v>1E-3</v>
      </c>
    </row>
    <row r="11" spans="1:18">
      <c r="A11" s="29" t="s">
        <v>100</v>
      </c>
      <c r="B11" s="29">
        <f>ROUND(0.009*$B$13,3)</f>
        <v>1E-3</v>
      </c>
      <c r="C11" s="29">
        <f>ROUND(0.009*$C$13,3)</f>
        <v>2E-3</v>
      </c>
      <c r="D11" s="29">
        <v>0</v>
      </c>
      <c r="E11" s="29">
        <v>0</v>
      </c>
      <c r="F11" s="29">
        <v>0</v>
      </c>
      <c r="G11" s="30"/>
      <c r="H11" s="29">
        <f>ROUND(0.009*$H$13,3)</f>
        <v>2E-3</v>
      </c>
      <c r="I11" s="29">
        <f>ROUND(0.009*$I$13,3)</f>
        <v>2E-3</v>
      </c>
      <c r="J11" s="29">
        <v>0</v>
      </c>
      <c r="K11" s="29">
        <v>0</v>
      </c>
      <c r="L11" s="29">
        <v>0</v>
      </c>
      <c r="N11" s="29" t="s">
        <v>100</v>
      </c>
      <c r="O11" s="29">
        <f>ROUND(0.009*$O$13,3)</f>
        <v>0</v>
      </c>
      <c r="P11" s="29">
        <f t="shared" si="0"/>
        <v>0</v>
      </c>
      <c r="Q11" s="29">
        <f t="shared" si="1"/>
        <v>0</v>
      </c>
      <c r="R11" s="29">
        <f t="shared" si="2"/>
        <v>0</v>
      </c>
    </row>
    <row r="12" spans="1:18">
      <c r="A12" s="29" t="s">
        <v>101</v>
      </c>
      <c r="B12" s="29">
        <f>SUM(B8:B11)</f>
        <v>0.108</v>
      </c>
      <c r="C12" s="29">
        <f t="shared" ref="C12:F12" si="3">SUM(C8:C11)</f>
        <v>0.1784</v>
      </c>
      <c r="D12" s="29">
        <f t="shared" si="3"/>
        <v>0</v>
      </c>
      <c r="E12" s="29">
        <f t="shared" si="3"/>
        <v>0</v>
      </c>
      <c r="F12" s="29">
        <f t="shared" si="3"/>
        <v>0</v>
      </c>
      <c r="G12" s="30"/>
      <c r="H12" s="29">
        <f>SUM(H8:H11)</f>
        <v>0.17799999999999999</v>
      </c>
      <c r="I12" s="29">
        <f t="shared" ref="I12:J12" si="4">SUM(I8:I11)</f>
        <v>0.16999999999999998</v>
      </c>
      <c r="J12" s="29">
        <f t="shared" si="4"/>
        <v>0</v>
      </c>
      <c r="K12" s="29">
        <f t="shared" ref="K12" si="5">SUM(K8:K11)</f>
        <v>0</v>
      </c>
      <c r="L12" s="29">
        <f t="shared" ref="L12" si="6">SUM(L8:L11)</f>
        <v>0</v>
      </c>
      <c r="N12" s="29" t="s">
        <v>101</v>
      </c>
      <c r="O12" s="29">
        <f>SUM(O8:O11)</f>
        <v>2.1999999999999999E-2</v>
      </c>
      <c r="P12" s="29">
        <f t="shared" si="0"/>
        <v>2.1999999999999999E-2</v>
      </c>
      <c r="Q12" s="29">
        <f t="shared" si="1"/>
        <v>2.1999999999999999E-2</v>
      </c>
      <c r="R12" s="29">
        <f t="shared" si="2"/>
        <v>2.1999999999999999E-2</v>
      </c>
    </row>
    <row r="13" spans="1:18">
      <c r="A13" s="20" t="s">
        <v>102</v>
      </c>
      <c r="B13" s="4">
        <f>ROUND(((fy26_summary_bnft_projection!D28+fy26_summary_bnft_projection!D29-(fy26_summary_bnft_projection!D66-fy26_summary_bnft_projection!D67))/fy26_summary_bnft_projection!$D$44),3)-0.0005</f>
        <v>0.1075</v>
      </c>
      <c r="C13" s="4">
        <f>ROUND(((fy26_summary_bnft_projection!F28+fy26_summary_bnft_projection!F29-(fy26_summary_bnft_projection!E66-fy26_summary_bnft_projection!E67))/fy26_summary_bnft_projection!$F$44),3)</f>
        <v>0.17799999999999999</v>
      </c>
      <c r="D13" s="4">
        <v>0</v>
      </c>
      <c r="E13" s="4">
        <v>0</v>
      </c>
      <c r="F13" s="4">
        <v>0</v>
      </c>
      <c r="H13" s="4">
        <f>ROUND(((fy26_summary_bnft_projection!E28+fy26_summary_bnft_projection!E29)/fy26_summary_bnft_projection!$E$13),3)-0.002</f>
        <v>0.17799999999999999</v>
      </c>
      <c r="I13" s="4">
        <f>ROUND(((fy26_summary_bnft_projection!G28+fy26_summary_bnft_projection!G29)/fy26_summary_bnft_projection!$G$13),3)</f>
        <v>0.17</v>
      </c>
      <c r="J13" s="4">
        <f>ROUND(((fy26_summary_bnft_projection!L28+fy26_summary_bnft_projection!L29)/fy26_summary_bnft_projection!$L$13),3)</f>
        <v>0</v>
      </c>
      <c r="K13" s="4">
        <v>0</v>
      </c>
      <c r="L13" s="4">
        <v>0</v>
      </c>
      <c r="N13" s="20" t="s">
        <v>102</v>
      </c>
      <c r="O13" s="4">
        <f>ROUND(((fy26_summary_bnft_projection!H28+fy26_summary_bnft_projection!H29)/fy26_summary_bnft_projection!$H$13),3)</f>
        <v>2.1999999999999999E-2</v>
      </c>
      <c r="P13" s="4">
        <f t="shared" si="0"/>
        <v>2.1999999999999999E-2</v>
      </c>
      <c r="Q13" s="4">
        <f t="shared" si="1"/>
        <v>2.1999999999999999E-2</v>
      </c>
      <c r="R13" s="4">
        <f t="shared" si="2"/>
        <v>2.1999999999999999E-2</v>
      </c>
    </row>
    <row r="14" spans="1:18">
      <c r="A14" s="20" t="s">
        <v>103</v>
      </c>
      <c r="B14" s="4">
        <f>ROUND(((fy26_summary_bnft_projection!D26-fy26_summary_bnft_projection!D64)/fy26_summary_bnft_projection!$D$44),3)-0.0005</f>
        <v>1.5E-3</v>
      </c>
      <c r="C14" s="4">
        <f>ROUND(((fy26_summary_bnft_projection!F26-fy26_summary_bnft_projection!E64)/fy26_summary_bnft_projection!$F$44),3)</f>
        <v>2E-3</v>
      </c>
      <c r="D14" s="4">
        <f>ROUND(((fy26_summary_bnft_projection!K26-fy26_summary_bnft_projection!G64)/fy26_summary_bnft_projection!$K$44),3)-0.0005</f>
        <v>1.5E-3</v>
      </c>
      <c r="E14" s="4">
        <f>ROUND(((fy26_summary_bnft_projection!K26)/fy26_summary_bnft_projection!$K$44),3)-0.0006</f>
        <v>2.4000000000000002E-3</v>
      </c>
      <c r="F14" s="4">
        <f>ROUND(((fy26_summary_bnft_projection!Q26-fy26_summary_bnft_projection!I64)/fy26_summary_bnft_projection!$Q$44),3)</f>
        <v>2E-3</v>
      </c>
      <c r="H14" s="4">
        <f>ROUND((fy26_summary_bnft_projection!E26/fy26_summary_bnft_projection!$E$13),3)</f>
        <v>2E-3</v>
      </c>
      <c r="I14" s="4">
        <f>ROUND((fy26_summary_bnft_projection!G26/fy26_summary_bnft_projection!$G$13),3)-0.0006</f>
        <v>1.4000000000000002E-3</v>
      </c>
      <c r="J14" s="4">
        <f>ROUND((fy26_summary_bnft_projection!L26/fy26_summary_bnft_projection!$L$13),3)-0.0008</f>
        <v>1.2000000000000001E-3</v>
      </c>
      <c r="K14" s="4">
        <f>ROUND((fy26_summary_bnft_projection!N26/fy26_summary_bnft_projection!$N$13),3)</f>
        <v>2E-3</v>
      </c>
      <c r="L14" s="4">
        <f>ROUND((fy26_summary_bnft_projection!R26/fy26_summary_bnft_projection!$R$13),3)</f>
        <v>2E-3</v>
      </c>
      <c r="N14" s="20" t="s">
        <v>103</v>
      </c>
      <c r="O14" s="4">
        <f>ROUND((fy26_summary_bnft_projection!H26/fy26_summary_bnft_projection!$H$13),3)-0.0005</f>
        <v>1.5E-3</v>
      </c>
      <c r="P14" s="4">
        <f t="shared" si="0"/>
        <v>1.5E-3</v>
      </c>
      <c r="Q14" s="4">
        <f t="shared" si="1"/>
        <v>1.5E-3</v>
      </c>
      <c r="R14" s="4">
        <f t="shared" si="2"/>
        <v>1.5E-3</v>
      </c>
    </row>
    <row r="15" spans="1:18">
      <c r="A15" s="20" t="s">
        <v>104</v>
      </c>
      <c r="B15" s="4">
        <f>ROUND(((fy26_summary_bnft_projection!D21-fy26_summary_bnft_projection!D59)/fy26_summary_bnft_projection!$D$44),3)</f>
        <v>3.0000000000000001E-3</v>
      </c>
      <c r="C15" s="4">
        <f>ROUND(((fy26_summary_bnft_projection!F21-fy26_summary_bnft_projection!E59)/fy26_summary_bnft_projection!$F$44),3)</f>
        <v>3.0000000000000001E-3</v>
      </c>
      <c r="D15" s="4">
        <f>ROUND(((fy26_summary_bnft_projection!K21-fy26_summary_bnft_projection!G59)/fy26_summary_bnft_projection!$K$44),3)</f>
        <v>0</v>
      </c>
      <c r="E15" s="4">
        <v>0</v>
      </c>
      <c r="F15" s="4">
        <v>0</v>
      </c>
      <c r="H15" s="4">
        <f>ROUND((fy26_summary_bnft_projection!E21/fy26_summary_bnft_projection!$E$13),3)</f>
        <v>3.0000000000000001E-3</v>
      </c>
      <c r="I15" s="4">
        <f>ROUND((fy26_summary_bnft_projection!G21/fy26_summary_bnft_projection!$G$13),3)</f>
        <v>3.0000000000000001E-3</v>
      </c>
      <c r="J15" s="4">
        <f>ROUND((fy26_summary_bnft_projection!L21/fy26_summary_bnft_projection!$L$13),3)</f>
        <v>0</v>
      </c>
      <c r="K15" s="4">
        <f>ROUND((fy26_summary_bnft_projection!N21/fy26_summary_bnft_projection!$N$13),3)</f>
        <v>0</v>
      </c>
      <c r="L15" s="4">
        <f>ROUND((fy26_summary_bnft_projection!R21/fy26_summary_bnft_projection!$R$13),3)</f>
        <v>0</v>
      </c>
      <c r="N15" s="20" t="s">
        <v>104</v>
      </c>
      <c r="O15" s="4">
        <f>ROUND((fy26_summary_bnft_projection!H21/fy26_summary_bnft_projection!$H$13),3)</f>
        <v>3.0000000000000001E-3</v>
      </c>
      <c r="P15" s="4">
        <f t="shared" si="0"/>
        <v>3.0000000000000001E-3</v>
      </c>
      <c r="Q15" s="4">
        <f t="shared" si="1"/>
        <v>3.0000000000000001E-3</v>
      </c>
      <c r="R15" s="4">
        <f t="shared" si="2"/>
        <v>3.0000000000000001E-3</v>
      </c>
    </row>
    <row r="16" spans="1:18">
      <c r="A16" s="20" t="s">
        <v>105</v>
      </c>
      <c r="B16" s="4">
        <f>ROUND(((fy26_summary_bnft_projection!D22-fy26_summary_bnft_projection!D60)/fy26_summary_bnft_projection!$D$44),3)</f>
        <v>2E-3</v>
      </c>
      <c r="C16" s="4">
        <f>ROUND(((fy26_summary_bnft_projection!F22-fy26_summary_bnft_projection!E60)/fy26_summary_bnft_projection!$F$44),3)</f>
        <v>2E-3</v>
      </c>
      <c r="D16" s="4">
        <f>ROUND(((fy26_summary_bnft_projection!K22-fy26_summary_bnft_projection!G60)/fy26_summary_bnft_projection!$K$44),3)</f>
        <v>0</v>
      </c>
      <c r="E16" s="4">
        <v>0</v>
      </c>
      <c r="F16" s="4">
        <v>0</v>
      </c>
      <c r="H16" s="4">
        <f>ROUND((fy26_summary_bnft_projection!E22/fy26_summary_bnft_projection!$E$13),3)</f>
        <v>2E-3</v>
      </c>
      <c r="I16" s="4">
        <f>ROUND((fy26_summary_bnft_projection!G22/fy26_summary_bnft_projection!$G$13),3)</f>
        <v>2E-3</v>
      </c>
      <c r="J16" s="4">
        <f>ROUND((fy26_summary_bnft_projection!L22/fy26_summary_bnft_projection!$L$13),3)</f>
        <v>0</v>
      </c>
      <c r="K16" s="4">
        <f>ROUND((fy26_summary_bnft_projection!N22/fy26_summary_bnft_projection!$N$13),3)</f>
        <v>0</v>
      </c>
      <c r="L16" s="4">
        <f>ROUND((fy26_summary_bnft_projection!R22/fy26_summary_bnft_projection!$R$13),3)</f>
        <v>0</v>
      </c>
      <c r="N16" s="20" t="s">
        <v>105</v>
      </c>
      <c r="O16" s="4">
        <f>ROUND((fy26_summary_bnft_projection!H22/fy26_summary_bnft_projection!$H$13),3)</f>
        <v>2E-3</v>
      </c>
      <c r="P16" s="4">
        <f t="shared" si="0"/>
        <v>2E-3</v>
      </c>
      <c r="Q16" s="4">
        <f t="shared" si="1"/>
        <v>2E-3</v>
      </c>
      <c r="R16" s="4">
        <f t="shared" si="2"/>
        <v>2E-3</v>
      </c>
    </row>
    <row r="17" spans="1:18">
      <c r="A17" s="20" t="s">
        <v>106</v>
      </c>
      <c r="B17" s="4">
        <f>ROUND(((fy26_summary_bnft_projection!D23-fy26_summary_bnft_projection!D61)/fy26_summary_bnft_projection!$D$44),3)+0.0005</f>
        <v>5.0000000000000001E-4</v>
      </c>
      <c r="C17" s="4">
        <f>ROUND(((fy26_summary_bnft_projection!F23-fy26_summary_bnft_projection!E61)/fy26_summary_bnft_projection!$F$44),3)+0.0005</f>
        <v>5.0000000000000001E-4</v>
      </c>
      <c r="D17" s="4">
        <f>ROUND(((fy26_summary_bnft_projection!K23-fy26_summary_bnft_projection!G61)/fy26_summary_bnft_projection!$K$44),3)+0.0005</f>
        <v>5.0000000000000001E-4</v>
      </c>
      <c r="E17" s="4">
        <v>0</v>
      </c>
      <c r="F17" s="4">
        <v>0</v>
      </c>
      <c r="H17" s="4">
        <f>ROUND((fy26_summary_bnft_projection!E23/fy26_summary_bnft_projection!$E$13),3)+0.0005</f>
        <v>5.0000000000000001E-4</v>
      </c>
      <c r="I17" s="4">
        <f>ROUND((fy26_summary_bnft_projection!G23/fy26_summary_bnft_projection!$G$13),3)+0.0005</f>
        <v>5.0000000000000001E-4</v>
      </c>
      <c r="J17" s="4">
        <f>ROUND((fy26_summary_bnft_projection!L23/fy26_summary_bnft_projection!$L$13),3)+0.0005</f>
        <v>5.0000000000000001E-4</v>
      </c>
      <c r="K17" s="4">
        <f>ROUND((fy26_summary_bnft_projection!N23/fy26_summary_bnft_projection!$N$13),3)</f>
        <v>0</v>
      </c>
      <c r="L17" s="4">
        <f>ROUND((fy26_summary_bnft_projection!R23/fy26_summary_bnft_projection!$R$13),3)</f>
        <v>0</v>
      </c>
      <c r="N17" s="20" t="s">
        <v>106</v>
      </c>
      <c r="O17" s="4">
        <f>ROUND((fy26_summary_bnft_projection!H23/fy26_summary_bnft_projection!$H$13),3)+0.0005</f>
        <v>5.0000000000000001E-4</v>
      </c>
      <c r="P17" s="4">
        <f t="shared" si="0"/>
        <v>5.0000000000000001E-4</v>
      </c>
      <c r="Q17" s="4">
        <f t="shared" si="1"/>
        <v>5.0000000000000001E-4</v>
      </c>
      <c r="R17" s="4">
        <f t="shared" si="2"/>
        <v>5.0000000000000001E-4</v>
      </c>
    </row>
    <row r="18" spans="1:18">
      <c r="A18" s="20" t="s">
        <v>107</v>
      </c>
      <c r="B18" s="4">
        <f>ROUND(((fy26_summary_bnft_projection!D24-fy26_summary_bnft_projection!D62)/fy26_summary_bnft_projection!$D$44),3)</f>
        <v>1E-3</v>
      </c>
      <c r="C18" s="4">
        <f>ROUND(((fy26_summary_bnft_projection!F24-fy26_summary_bnft_projection!E62)/fy26_summary_bnft_projection!$F$44),3)</f>
        <v>1E-3</v>
      </c>
      <c r="D18" s="4">
        <f>ROUND(((fy26_summary_bnft_projection!K24-fy26_summary_bnft_projection!G62)/fy26_summary_bnft_projection!$K$44),3)</f>
        <v>1E-3</v>
      </c>
      <c r="E18" s="4">
        <f>ROUND(((fy26_summary_bnft_projection!K24)/fy26_summary_bnft_projection!$K$44),3)</f>
        <v>1E-3</v>
      </c>
      <c r="F18" s="4">
        <f>ROUND(((fy26_summary_bnft_projection!Q24-fy26_summary_bnft_projection!I62)/fy26_summary_bnft_projection!$Q$44),3)</f>
        <v>1E-3</v>
      </c>
      <c r="H18" s="4">
        <f>ROUND((fy26_summary_bnft_projection!E25/fy26_summary_bnft_projection!$E$13),3)</f>
        <v>3.0000000000000001E-3</v>
      </c>
      <c r="I18" s="4">
        <f>ROUND((fy26_summary_bnft_projection!G25/fy26_summary_bnft_projection!$G$13),3)</f>
        <v>3.0000000000000001E-3</v>
      </c>
      <c r="J18" s="4">
        <f>ROUND((fy26_summary_bnft_projection!L25/fy26_summary_bnft_projection!$L$13),3)</f>
        <v>3.0000000000000001E-3</v>
      </c>
      <c r="K18" s="4">
        <f>ROUND((fy26_summary_bnft_projection!N25/fy26_summary_bnft_projection!$N$13),3)</f>
        <v>3.0000000000000001E-3</v>
      </c>
      <c r="L18" s="4">
        <f>ROUND((fy26_summary_bnft_projection!R25/fy26_summary_bnft_projection!$R$13),3)</f>
        <v>3.0000000000000001E-3</v>
      </c>
      <c r="N18" s="20" t="s">
        <v>107</v>
      </c>
      <c r="O18" s="4">
        <f>ROUND((fy26_summary_bnft_projection!H25/fy26_summary_bnft_projection!$H$13),3)+0.0005</f>
        <v>5.0000000000000001E-4</v>
      </c>
      <c r="P18" s="4">
        <f t="shared" si="0"/>
        <v>5.0000000000000001E-4</v>
      </c>
      <c r="Q18" s="4">
        <f t="shared" si="1"/>
        <v>5.0000000000000001E-4</v>
      </c>
      <c r="R18" s="4">
        <f t="shared" si="2"/>
        <v>5.0000000000000001E-4</v>
      </c>
    </row>
    <row r="19" spans="1:18">
      <c r="A19" s="20" t="s">
        <v>256</v>
      </c>
      <c r="B19" s="4">
        <f>ROUND((fy26_summary_bnft_projection!D30/fy26_summary_bnft_projection!$D$44),3)</f>
        <v>3.0000000000000001E-3</v>
      </c>
      <c r="C19" s="4">
        <f>ROUND((fy26_summary_bnft_projection!F30/fy26_summary_bnft_projection!$F$44),3)</f>
        <v>4.0000000000000001E-3</v>
      </c>
      <c r="D19" s="4">
        <f>ROUND((fy26_summary_bnft_projection!K30/fy26_summary_bnft_projection!$K$44),3)</f>
        <v>0</v>
      </c>
      <c r="E19" s="4">
        <v>0</v>
      </c>
      <c r="F19" s="4">
        <v>0</v>
      </c>
      <c r="H19" s="4">
        <f>ROUND((fy26_summary_bnft_projection!E30/fy26_summary_bnft_projection!$E$13),3)</f>
        <v>4.0000000000000001E-3</v>
      </c>
      <c r="I19" s="4">
        <f>ROUND((fy26_summary_bnft_projection!G30/fy26_summary_bnft_projection!$G$13),3)</f>
        <v>4.0000000000000001E-3</v>
      </c>
      <c r="J19" s="4">
        <v>0</v>
      </c>
      <c r="K19" s="4">
        <v>0</v>
      </c>
      <c r="L19" s="4">
        <v>0</v>
      </c>
      <c r="N19" s="20" t="s">
        <v>256</v>
      </c>
      <c r="O19" s="4">
        <f>ROUND((fy26_summary_bnft_projection!H30/fy26_summary_bnft_projection!$H$13),3)</f>
        <v>0</v>
      </c>
      <c r="P19" s="4">
        <f t="shared" si="0"/>
        <v>0</v>
      </c>
      <c r="Q19" s="4">
        <f t="shared" si="1"/>
        <v>0</v>
      </c>
      <c r="R19" s="4">
        <f t="shared" si="2"/>
        <v>0</v>
      </c>
    </row>
    <row r="20" spans="1:18">
      <c r="A20" s="20" t="s">
        <v>108</v>
      </c>
      <c r="B20" s="4">
        <f>ROUND(((fy26_summary_bnft_projection!D31-fy26_summary_bnft_projection!D68)/fy26_summary_bnft_projection!$D$44),3)+0.0005</f>
        <v>5.0000000000000001E-4</v>
      </c>
      <c r="C20" s="4">
        <f>ROUND(((fy26_summary_bnft_projection!F31-fy26_summary_bnft_projection!E68)/fy26_summary_bnft_projection!$F$44),3)+0.0005</f>
        <v>5.0000000000000001E-4</v>
      </c>
      <c r="D20" s="4">
        <f>ROUND(((fy26_summary_bnft_projection!K31-fy26_summary_bnft_projection!G68)/fy26_summary_bnft_projection!$K$44),3)</f>
        <v>0</v>
      </c>
      <c r="E20" s="4">
        <v>0</v>
      </c>
      <c r="F20" s="4">
        <v>0</v>
      </c>
      <c r="H20" s="4">
        <f>ROUND((fy26_summary_bnft_projection!E31/fy26_summary_bnft_projection!$E$13),3)+0.0005</f>
        <v>5.0000000000000001E-4</v>
      </c>
      <c r="I20" s="4">
        <f>ROUND((fy26_summary_bnft_projection!G31/fy26_summary_bnft_projection!$G$13),3)+0.0005</f>
        <v>5.0000000000000001E-4</v>
      </c>
      <c r="J20" s="4">
        <f>ROUND((fy26_summary_bnft_projection!L30/fy26_summary_bnft_projection!$L$13),3)</f>
        <v>0</v>
      </c>
      <c r="K20" s="4">
        <f>ROUND((fy26_summary_bnft_projection!N30/fy26_summary_bnft_projection!$N$13),3)</f>
        <v>0</v>
      </c>
      <c r="L20" s="4">
        <f>ROUND((fy26_summary_bnft_projection!R30/fy26_summary_bnft_projection!$R$13),3)</f>
        <v>0</v>
      </c>
      <c r="N20" s="20" t="s">
        <v>108</v>
      </c>
      <c r="O20" s="4">
        <f>ROUND((fy26_summary_bnft_projection!H31/fy26_summary_bnft_projection!$H$13),3)+0.0005</f>
        <v>5.0000000000000001E-4</v>
      </c>
      <c r="P20" s="4">
        <f t="shared" si="0"/>
        <v>5.0000000000000001E-4</v>
      </c>
      <c r="Q20" s="4">
        <f t="shared" si="1"/>
        <v>5.0000000000000001E-4</v>
      </c>
      <c r="R20" s="4">
        <f t="shared" si="2"/>
        <v>5.0000000000000001E-4</v>
      </c>
    </row>
    <row r="21" spans="1:18">
      <c r="A21" s="20" t="s">
        <v>109</v>
      </c>
      <c r="B21" s="4">
        <f>ROUND(((fy26_summary_bnft_projection!D32-fy26_summary_bnft_projection!D69)/fy26_summary_bnft_projection!$D$44),3)</f>
        <v>4.0000000000000001E-3</v>
      </c>
      <c r="C21" s="4">
        <f>ROUND(((fy26_summary_bnft_projection!F32-fy26_summary_bnft_projection!E69)/fy26_summary_bnft_projection!$F$44),3)</f>
        <v>6.0000000000000001E-3</v>
      </c>
      <c r="D21" s="4">
        <f>ROUND(((fy26_summary_bnft_projection!K32-fy26_summary_bnft_projection!G69)/fy26_summary_bnft_projection!$K$44),3)</f>
        <v>0</v>
      </c>
      <c r="E21" s="4">
        <v>0</v>
      </c>
      <c r="F21" s="4">
        <v>0</v>
      </c>
      <c r="H21" s="4">
        <f>ROUND((fy26_summary_bnft_projection!E32/fy26_summary_bnft_projection!$E$13),3)</f>
        <v>6.0000000000000001E-3</v>
      </c>
      <c r="I21" s="4">
        <f>ROUND((fy26_summary_bnft_projection!G32/fy26_summary_bnft_projection!$G$13),3)</f>
        <v>6.0000000000000001E-3</v>
      </c>
      <c r="J21" s="4">
        <f>ROUND((fy26_summary_bnft_projection!L31/fy26_summary_bnft_projection!$L$13),3)</f>
        <v>0</v>
      </c>
      <c r="K21" s="4">
        <f>ROUND((fy26_summary_bnft_projection!N31/fy26_summary_bnft_projection!$N$13),3)</f>
        <v>0</v>
      </c>
      <c r="L21" s="4">
        <f>ROUND((fy26_summary_bnft_projection!R31/fy26_summary_bnft_projection!$R$13),3)</f>
        <v>0</v>
      </c>
      <c r="N21" s="20" t="s">
        <v>109</v>
      </c>
      <c r="O21" s="4">
        <f>ROUND((fy26_summary_bnft_projection!H32/fy26_summary_bnft_projection!$H$13),3)</f>
        <v>1E-3</v>
      </c>
      <c r="P21" s="4">
        <f t="shared" si="0"/>
        <v>1E-3</v>
      </c>
      <c r="Q21" s="4">
        <f t="shared" si="1"/>
        <v>1E-3</v>
      </c>
      <c r="R21" s="4">
        <f t="shared" si="2"/>
        <v>1E-3</v>
      </c>
    </row>
    <row r="22" spans="1:18">
      <c r="A22" s="20" t="s">
        <v>110</v>
      </c>
      <c r="B22" s="4">
        <v>0</v>
      </c>
      <c r="C22" s="4">
        <v>0</v>
      </c>
      <c r="D22" s="4">
        <v>0</v>
      </c>
      <c r="E22" s="4">
        <v>0</v>
      </c>
      <c r="F22" s="74">
        <f>ROUND(((fy26_summary_bnft_projection!Q27-fy26_summary_bnft_projection!I65)/fy26_summary_bnft_projection!$Q$44),3)-0.0026</f>
        <v>0.1234</v>
      </c>
      <c r="H22" s="4">
        <f>ROUND((fy26_summary_bnft_projection!E27/fy26_summary_bnft_projection!$E$13),3)</f>
        <v>0</v>
      </c>
      <c r="I22" s="4">
        <f>ROUND((fy26_summary_bnft_projection!G27/fy26_summary_bnft_projection!$G$13),3)</f>
        <v>0</v>
      </c>
      <c r="J22" s="4">
        <f>ROUND((fy26_summary_bnft_projection!L27/fy26_summary_bnft_projection!$L$13),3)</f>
        <v>0</v>
      </c>
      <c r="K22" s="4">
        <f>ROUND((fy26_summary_bnft_projection!N27/fy26_summary_bnft_projection!$N$13),3)</f>
        <v>0</v>
      </c>
      <c r="L22" s="4">
        <f>ROUND((fy26_summary_bnft_projection!R27/fy26_summary_bnft_projection!$R$13),3)</f>
        <v>0.123</v>
      </c>
      <c r="N22" s="20" t="s">
        <v>110</v>
      </c>
      <c r="O22" s="4">
        <v>0</v>
      </c>
      <c r="P22" s="4">
        <f t="shared" si="0"/>
        <v>0</v>
      </c>
      <c r="Q22" s="4">
        <f t="shared" si="1"/>
        <v>0</v>
      </c>
      <c r="R22" s="4">
        <f t="shared" si="2"/>
        <v>0</v>
      </c>
    </row>
    <row r="23" spans="1:18">
      <c r="A23" s="20" t="s">
        <v>111</v>
      </c>
      <c r="B23" s="4">
        <f>ROUND(((fy26_summary_bnft_projection!D33-fy26_summary_bnft_projection!D70)/fy26_summary_bnft_projection!$D$44),3)</f>
        <v>6.0000000000000001E-3</v>
      </c>
      <c r="C23" s="4">
        <f>ROUND(((fy26_summary_bnft_projection!F33-fy26_summary_bnft_projection!E70)/fy26_summary_bnft_projection!$F$44),3)</f>
        <v>0.01</v>
      </c>
      <c r="D23" s="4">
        <f>ROUND(((fy26_summary_bnft_projection!K33-fy26_summary_bnft_projection!G70)/fy26_summary_bnft_projection!$K$44),3)</f>
        <v>0</v>
      </c>
      <c r="E23" s="4">
        <v>0</v>
      </c>
      <c r="F23" s="4">
        <v>0</v>
      </c>
      <c r="H23" s="4">
        <f>ROUND((fy26_summary_bnft_projection!E33/fy26_summary_bnft_projection!$E$13),3)</f>
        <v>0.01</v>
      </c>
      <c r="I23" s="4">
        <f>ROUND((fy26_summary_bnft_projection!G33/fy26_summary_bnft_projection!$G$13),3)</f>
        <v>0.01</v>
      </c>
      <c r="J23" s="4">
        <f>ROUND((fy26_summary_bnft_projection!L32/fy26_summary_bnft_projection!$L$13),3)</f>
        <v>0</v>
      </c>
      <c r="K23" s="4">
        <f>ROUND((fy26_summary_bnft_projection!N32/fy26_summary_bnft_projection!$N$13),3)</f>
        <v>0</v>
      </c>
      <c r="L23" s="4">
        <f>ROUND((fy26_summary_bnft_projection!R32/fy26_summary_bnft_projection!$R$13),3)</f>
        <v>0</v>
      </c>
      <c r="N23" s="20" t="s">
        <v>111</v>
      </c>
      <c r="O23" s="4">
        <f>ROUND((fy26_summary_bnft_projection!H33/fy26_summary_bnft_projection!$H$13),3)</f>
        <v>1E-3</v>
      </c>
      <c r="P23" s="4">
        <f t="shared" si="0"/>
        <v>1E-3</v>
      </c>
      <c r="Q23" s="4">
        <f t="shared" si="1"/>
        <v>1E-3</v>
      </c>
      <c r="R23" s="4">
        <f t="shared" si="2"/>
        <v>1E-3</v>
      </c>
    </row>
    <row r="24" spans="1:18">
      <c r="A24" s="20" t="s">
        <v>112</v>
      </c>
      <c r="B24" s="4">
        <f>ROUND(((fy26_summary_bnft_projection!D34)/fy26_summary_bnft_projection!$D$44),3)</f>
        <v>3.0000000000000001E-3</v>
      </c>
      <c r="C24" s="4">
        <f>ROUND(((fy26_summary_bnft_projection!F34)/fy26_summary_bnft_projection!$F$44),3)</f>
        <v>5.0000000000000001E-3</v>
      </c>
      <c r="D24" s="4">
        <f>ROUND(((fy26_summary_bnft_projection!K34)/fy26_summary_bnft_projection!$K$44),3)</f>
        <v>0</v>
      </c>
      <c r="E24" s="4">
        <v>0</v>
      </c>
      <c r="F24" s="4">
        <v>0</v>
      </c>
      <c r="H24" s="4">
        <f>ROUND((fy26_summary_bnft_projection!E34/fy26_summary_bnft_projection!$E$13),3)</f>
        <v>5.0000000000000001E-3</v>
      </c>
      <c r="I24" s="4">
        <f>ROUND((fy26_summary_bnft_projection!G34/fy26_summary_bnft_projection!$G$13),3)</f>
        <v>4.0000000000000001E-3</v>
      </c>
      <c r="J24" s="4">
        <f>ROUND((fy26_summary_bnft_projection!L33/fy26_summary_bnft_projection!$L$13),3)</f>
        <v>0</v>
      </c>
      <c r="K24" s="4">
        <f>ROUND((fy26_summary_bnft_projection!N33/fy26_summary_bnft_projection!$N$13),3)</f>
        <v>0</v>
      </c>
      <c r="L24" s="4">
        <f>ROUND((fy26_summary_bnft_projection!R33/fy26_summary_bnft_projection!$R$13),3)</f>
        <v>0</v>
      </c>
      <c r="N24" s="20" t="s">
        <v>112</v>
      </c>
      <c r="O24" s="4">
        <f>ROUND((fy26_summary_bnft_projection!H34/fy26_summary_bnft_projection!$H$13),3)</f>
        <v>1E-3</v>
      </c>
      <c r="P24" s="4">
        <f t="shared" si="0"/>
        <v>1E-3</v>
      </c>
      <c r="Q24" s="4">
        <f t="shared" si="1"/>
        <v>1E-3</v>
      </c>
      <c r="R24" s="4">
        <f t="shared" si="2"/>
        <v>1E-3</v>
      </c>
    </row>
    <row r="25" spans="1:18">
      <c r="A25" s="21" t="s">
        <v>113</v>
      </c>
      <c r="B25" s="4">
        <f>'Rate Summary'!B2</f>
        <v>0.28499999999999998</v>
      </c>
      <c r="C25" s="4">
        <f>'Rate Summary'!B3</f>
        <v>0.36499999999999999</v>
      </c>
      <c r="D25" s="4">
        <f>'Rate Summary'!B4</f>
        <v>0.156</v>
      </c>
      <c r="E25" s="4">
        <f>'Rate Summary'!B5</f>
        <v>3.0000000000000001E-3</v>
      </c>
      <c r="F25" s="4">
        <f>'Rate Summary'!B6</f>
        <v>0.126</v>
      </c>
      <c r="H25" s="4">
        <f>'Rate Summary'!B9</f>
        <v>0.36699999999999999</v>
      </c>
      <c r="I25" s="4">
        <f>'Rate Summary'!B10</f>
        <v>0.35699999999999998</v>
      </c>
      <c r="J25" s="4">
        <f>'Rate Summary'!B11</f>
        <v>0.157</v>
      </c>
      <c r="K25" s="4">
        <f>'Rate Summary'!B12</f>
        <v>5.0000000000000001E-3</v>
      </c>
      <c r="L25" s="4">
        <f>'Rate Summary'!B13</f>
        <v>0.128</v>
      </c>
      <c r="N25" s="21" t="s">
        <v>113</v>
      </c>
      <c r="O25" s="4">
        <f>'Rate Summary'!B22</f>
        <v>0.14799999999999999</v>
      </c>
      <c r="P25" s="4">
        <f>'Rate Summary'!B23</f>
        <v>0.19800000000000001</v>
      </c>
      <c r="Q25" s="4">
        <f>'Rate Summary'!B24</f>
        <v>0.188</v>
      </c>
      <c r="R25" s="4">
        <f>'Rate Summary'!B25</f>
        <v>0.24199999999999999</v>
      </c>
    </row>
    <row r="26" spans="1:18">
      <c r="A26" s="22"/>
      <c r="B26" s="4"/>
      <c r="C26" s="4"/>
      <c r="D26" s="4"/>
      <c r="E26" s="4"/>
      <c r="F26" s="4"/>
      <c r="H26" s="4"/>
      <c r="I26" s="4"/>
      <c r="J26" s="4"/>
      <c r="K26" s="4"/>
      <c r="L26" s="4"/>
      <c r="N26" s="22"/>
      <c r="O26" s="4"/>
      <c r="P26" s="4"/>
      <c r="Q26" s="4"/>
      <c r="R26" s="4"/>
    </row>
    <row r="27" spans="1:18">
      <c r="A27" s="23" t="s">
        <v>114</v>
      </c>
      <c r="B27" s="4">
        <f>SUM(B5:B7,B13:B24)</f>
        <v>0.28500000000000003</v>
      </c>
      <c r="C27" s="4">
        <f t="shared" ref="C27:F27" si="7">SUM(C5:C7,C13:C24)</f>
        <v>0.36500000000000005</v>
      </c>
      <c r="D27" s="4">
        <f t="shared" si="7"/>
        <v>0.15600000000000003</v>
      </c>
      <c r="E27" s="4">
        <f t="shared" si="7"/>
        <v>3.4000000000000002E-3</v>
      </c>
      <c r="F27" s="4">
        <f t="shared" si="7"/>
        <v>0.12639999999999998</v>
      </c>
      <c r="H27" s="4">
        <f>SUM(H5:H7,H13:H24)</f>
        <v>0.36700000000000005</v>
      </c>
      <c r="I27" s="4">
        <f t="shared" ref="I27:L27" si="8">SUM(I5:I7,I13:I24)</f>
        <v>0.35740000000000011</v>
      </c>
      <c r="J27" s="4">
        <f t="shared" si="8"/>
        <v>0.15710000000000005</v>
      </c>
      <c r="K27" s="4">
        <f t="shared" si="8"/>
        <v>5.0000000000000001E-3</v>
      </c>
      <c r="L27" s="4">
        <f t="shared" si="8"/>
        <v>0.128</v>
      </c>
      <c r="N27" s="23" t="s">
        <v>114</v>
      </c>
      <c r="O27" s="4">
        <f>SUM(O5:O11,O14:O24)</f>
        <v>0.14800000000000002</v>
      </c>
      <c r="P27" s="4">
        <f t="shared" ref="P27:R27" si="9">SUM(P5:P11,P14:P24)</f>
        <v>0.19799999999999998</v>
      </c>
      <c r="Q27" s="4">
        <f t="shared" si="9"/>
        <v>0.18800000000000003</v>
      </c>
      <c r="R27" s="4">
        <f t="shared" si="9"/>
        <v>0.24200000000000002</v>
      </c>
    </row>
    <row r="29" spans="1:18">
      <c r="B29" s="26">
        <f>B25-B27</f>
        <v>0</v>
      </c>
      <c r="C29" s="26">
        <f t="shared" ref="C29:F29" si="10">C25-C27</f>
        <v>0</v>
      </c>
      <c r="D29" s="26">
        <f t="shared" si="10"/>
        <v>0</v>
      </c>
      <c r="E29" s="26">
        <f t="shared" si="10"/>
        <v>-4.0000000000000018E-4</v>
      </c>
      <c r="F29" s="26">
        <f t="shared" si="10"/>
        <v>-3.999999999999837E-4</v>
      </c>
      <c r="H29" s="26">
        <f>H25-H27</f>
        <v>0</v>
      </c>
      <c r="I29" s="26">
        <f t="shared" ref="I29:L29" si="11">I25-I27</f>
        <v>-4.0000000000012248E-4</v>
      </c>
      <c r="J29" s="26">
        <f t="shared" si="11"/>
        <v>-1.000000000000445E-4</v>
      </c>
      <c r="K29" s="26">
        <f t="shared" si="11"/>
        <v>0</v>
      </c>
      <c r="L29" s="26">
        <f t="shared" si="11"/>
        <v>0</v>
      </c>
      <c r="O29" s="26">
        <f t="shared" ref="O29:R29" si="12">O25-O27</f>
        <v>0</v>
      </c>
      <c r="P29" s="26">
        <f t="shared" si="12"/>
        <v>0</v>
      </c>
      <c r="Q29" s="26">
        <f t="shared" si="12"/>
        <v>0</v>
      </c>
      <c r="R29" s="26">
        <f t="shared" si="12"/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CA40-DBBF-480F-90ED-EB1F31B9506F}">
  <dimension ref="A2:V3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31" sqref="E31"/>
    </sheetView>
  </sheetViews>
  <sheetFormatPr defaultRowHeight="12.75"/>
  <cols>
    <col min="1" max="1" width="23.140625" bestFit="1" customWidth="1"/>
    <col min="2" max="2" width="9.28515625" customWidth="1"/>
    <col min="3" max="4" width="23.140625" customWidth="1"/>
    <col min="5" max="9" width="10.7109375" customWidth="1"/>
    <col min="10" max="10" width="2.7109375" customWidth="1"/>
    <col min="11" max="15" width="10.7109375" customWidth="1"/>
    <col min="16" max="16" width="2.42578125" customWidth="1"/>
    <col min="17" max="17" width="23.140625" customWidth="1"/>
    <col min="18" max="21" width="9.140625" customWidth="1"/>
  </cols>
  <sheetData>
    <row r="2" spans="1:22">
      <c r="E2" s="25" t="s">
        <v>118</v>
      </c>
      <c r="F2" s="24"/>
      <c r="G2" s="24"/>
      <c r="H2" s="24"/>
      <c r="I2" s="24"/>
      <c r="K2" s="25" t="s">
        <v>31</v>
      </c>
      <c r="L2" s="24"/>
      <c r="M2" s="24"/>
      <c r="N2" s="24"/>
      <c r="O2" s="24"/>
    </row>
    <row r="3" spans="1:22">
      <c r="E3" s="2" t="s">
        <v>7</v>
      </c>
      <c r="F3" s="2" t="s">
        <v>115</v>
      </c>
      <c r="G3" s="2" t="s">
        <v>9</v>
      </c>
      <c r="H3" s="2" t="s">
        <v>116</v>
      </c>
      <c r="I3" s="2" t="s">
        <v>117</v>
      </c>
      <c r="K3" s="2" t="s">
        <v>7</v>
      </c>
      <c r="L3" s="2" t="s">
        <v>115</v>
      </c>
      <c r="M3" s="2" t="s">
        <v>9</v>
      </c>
      <c r="N3" s="2" t="s">
        <v>116</v>
      </c>
      <c r="O3" s="2" t="s">
        <v>117</v>
      </c>
    </row>
    <row r="4" spans="1:22">
      <c r="A4" s="1" t="s">
        <v>151</v>
      </c>
      <c r="B4" s="1" t="s">
        <v>154</v>
      </c>
      <c r="C4" s="37" t="s">
        <v>152</v>
      </c>
      <c r="D4" s="37" t="s">
        <v>153</v>
      </c>
      <c r="E4" s="2" t="s">
        <v>15</v>
      </c>
      <c r="F4" s="2" t="s">
        <v>88</v>
      </c>
      <c r="G4" s="2" t="s">
        <v>20</v>
      </c>
      <c r="H4" s="2" t="s">
        <v>22</v>
      </c>
      <c r="I4" s="2" t="s">
        <v>26</v>
      </c>
      <c r="K4" s="2" t="s">
        <v>15</v>
      </c>
      <c r="L4" s="2" t="s">
        <v>88</v>
      </c>
      <c r="M4" s="2" t="s">
        <v>20</v>
      </c>
      <c r="N4" s="2" t="s">
        <v>22</v>
      </c>
      <c r="O4" s="2" t="s">
        <v>26</v>
      </c>
      <c r="R4" s="2" t="s">
        <v>92</v>
      </c>
      <c r="S4" s="2" t="s">
        <v>93</v>
      </c>
      <c r="T4" s="2" t="s">
        <v>149</v>
      </c>
      <c r="U4" s="2" t="s">
        <v>94</v>
      </c>
      <c r="V4" s="1" t="s">
        <v>154</v>
      </c>
    </row>
    <row r="5" spans="1:22">
      <c r="A5" s="27" t="s">
        <v>38</v>
      </c>
      <c r="B5" s="27" t="s">
        <v>127</v>
      </c>
      <c r="C5" t="s">
        <v>155</v>
      </c>
      <c r="D5" t="s">
        <v>156</v>
      </c>
      <c r="E5" s="4">
        <f>ROUND('Components UNIV HS &amp; FGP'!B5/'Components UNIV HS &amp; FGP'!$B$25,3)</f>
        <v>0.48399999999999999</v>
      </c>
      <c r="F5" s="4">
        <f>ROUND('Components UNIV HS &amp; FGP'!C5/'Components UNIV HS &amp; FGP'!$C$25,3)</f>
        <v>0</v>
      </c>
      <c r="G5" s="4">
        <f>ROUND('Components UNIV HS &amp; FGP'!D5/'Components UNIV HS &amp; FGP'!$D$25,3)</f>
        <v>0.88500000000000001</v>
      </c>
      <c r="H5" s="4">
        <f>ROUND('Components UNIV HS &amp; FGP'!E5/'Components UNIV HS &amp; FGP'!$E$25,3)</f>
        <v>0</v>
      </c>
      <c r="I5" s="4">
        <f>ROUND('Components UNIV HS &amp; FGP'!F5/'Components UNIV HS &amp; FGP'!$F$25,3)</f>
        <v>0</v>
      </c>
      <c r="K5" s="4">
        <f>ROUND('Components UNIV HS &amp; FGP'!H5/'Components UNIV HS &amp; FGP'!H$25,3)</f>
        <v>0.376</v>
      </c>
      <c r="L5" s="4">
        <f>ROUND('Components UNIV HS &amp; FGP'!I5/'Components UNIV HS &amp; FGP'!I$25,3)</f>
        <v>0</v>
      </c>
      <c r="M5" s="4">
        <f>ROUND('Components UNIV HS &amp; FGP'!J5/'Components UNIV HS &amp; FGP'!J$25,3)</f>
        <v>0.875</v>
      </c>
      <c r="N5" s="4">
        <f>ROUND('Components UNIV HS &amp; FGP'!K5/'Components UNIV HS &amp; FGP'!K$25,3)</f>
        <v>0</v>
      </c>
      <c r="O5" s="4">
        <f>ROUND('Components UNIV HS &amp; FGP'!L5/'Components UNIV HS &amp; FGP'!L$25,3)</f>
        <v>0</v>
      </c>
      <c r="Q5" s="19" t="s">
        <v>38</v>
      </c>
      <c r="R5" s="4">
        <f>ROUND('Components UNIV HS &amp; FGP'!O5/'Components UNIV HS &amp; FGP'!O$25,3)</f>
        <v>0.67600000000000005</v>
      </c>
      <c r="S5" s="4">
        <f>ROUND('Components UNIV HS &amp; FGP'!P5/'Components UNIV HS &amp; FGP'!P$25,3)</f>
        <v>0.75800000000000001</v>
      </c>
      <c r="T5" s="4">
        <f>ROUND('Components UNIV HS &amp; FGP'!Q5/'Components UNIV HS &amp; FGP'!Q$25,3)</f>
        <v>0</v>
      </c>
      <c r="U5" s="4">
        <f>ROUND('Components UNIV HS &amp; FGP'!R5/'Components UNIV HS &amp; FGP'!R$25,3)</f>
        <v>0.80200000000000005</v>
      </c>
    </row>
    <row r="6" spans="1:22">
      <c r="A6" s="27" t="s">
        <v>40</v>
      </c>
      <c r="B6" s="27" t="s">
        <v>128</v>
      </c>
      <c r="C6" t="s">
        <v>155</v>
      </c>
      <c r="D6" t="s">
        <v>156</v>
      </c>
      <c r="E6" s="4">
        <f>ROUND('Components UNIV HS &amp; FGP'!B6/'Components UNIV HS &amp; FGP'!$B$25,3)</f>
        <v>0</v>
      </c>
      <c r="F6" s="4">
        <f>ROUND('Components UNIV HS &amp; FGP'!C6/'Components UNIV HS &amp; FGP'!$C$25,3)</f>
        <v>0.378</v>
      </c>
      <c r="G6" s="4">
        <f>ROUND('Components UNIV HS &amp; FGP'!D6/'Components UNIV HS &amp; FGP'!$D$25,3)</f>
        <v>0</v>
      </c>
      <c r="H6" s="4">
        <f>ROUND('Components UNIV HS &amp; FGP'!E6/'Components UNIV HS &amp; FGP'!$E$25,3)</f>
        <v>0</v>
      </c>
      <c r="I6" s="4">
        <f>ROUND('Components UNIV HS &amp; FGP'!F6/'Components UNIV HS &amp; FGP'!$F$25,3)</f>
        <v>0</v>
      </c>
      <c r="K6" s="4">
        <f>ROUND('Components UNIV HS &amp; FGP'!H6/'Components UNIV HS &amp; FGP'!H$25,3)</f>
        <v>0</v>
      </c>
      <c r="L6" s="4">
        <f>ROUND('Components UNIV HS &amp; FGP'!I6/'Components UNIV HS &amp; FGP'!I$25,3)</f>
        <v>0.38700000000000001</v>
      </c>
      <c r="M6" s="4">
        <f>ROUND('Components UNIV HS &amp; FGP'!J6/'Components UNIV HS &amp; FGP'!J$25,3)</f>
        <v>0</v>
      </c>
      <c r="N6" s="4">
        <f>ROUND('Components UNIV HS &amp; FGP'!K6/'Components UNIV HS &amp; FGP'!K$25,3)</f>
        <v>0</v>
      </c>
      <c r="O6" s="4">
        <f>ROUND('Components UNIV HS &amp; FGP'!L6/'Components UNIV HS &amp; FGP'!L$25,3)</f>
        <v>0</v>
      </c>
      <c r="Q6" s="20" t="s">
        <v>147</v>
      </c>
      <c r="R6" s="4">
        <f>ROUND('Components UNIV HS &amp; FGP'!O6/'Components UNIV HS &amp; FGP'!O$25,3)</f>
        <v>0</v>
      </c>
      <c r="S6" s="4">
        <f>ROUND('Components UNIV HS &amp; FGP'!P6/'Components UNIV HS &amp; FGP'!P$25,3)</f>
        <v>0</v>
      </c>
      <c r="T6" s="4">
        <f>ROUND('Components UNIV HS &amp; FGP'!Q6/'Components UNIV HS &amp; FGP'!Q$25,3)</f>
        <v>0.745</v>
      </c>
      <c r="U6" s="4">
        <f>ROUND('Components UNIV HS &amp; FGP'!R6/'Components UNIV HS &amp; FGP'!R$25,3)</f>
        <v>0</v>
      </c>
      <c r="V6" s="2" t="s">
        <v>143</v>
      </c>
    </row>
    <row r="7" spans="1:22">
      <c r="A7" s="27" t="s">
        <v>41</v>
      </c>
      <c r="B7" s="28" t="s">
        <v>129</v>
      </c>
      <c r="C7" t="s">
        <v>155</v>
      </c>
      <c r="D7" t="s">
        <v>156</v>
      </c>
      <c r="E7" s="4">
        <f>ROUND('Components UNIV HS &amp; FGP'!B7/'Components UNIV HS &amp; FGP'!$B$25,3)</f>
        <v>5.2999999999999999E-2</v>
      </c>
      <c r="F7" s="4">
        <f>ROUND('Components UNIV HS &amp; FGP'!C7/'Components UNIV HS &amp; FGP'!$C$25,3)</f>
        <v>4.1000000000000002E-2</v>
      </c>
      <c r="G7" s="4">
        <f>ROUND('Components UNIV HS &amp; FGP'!D7/'Components UNIV HS &amp; FGP'!$D$25,3)</f>
        <v>9.6000000000000002E-2</v>
      </c>
      <c r="H7" s="4">
        <f>ROUND('Components UNIV HS &amp; FGP'!E7/'Components UNIV HS &amp; FGP'!$E$25,3)</f>
        <v>0</v>
      </c>
      <c r="I7" s="4">
        <f>ROUND('Components UNIV HS &amp; FGP'!F7/'Components UNIV HS &amp; FGP'!$F$25,3)</f>
        <v>0</v>
      </c>
      <c r="K7" s="4">
        <f>ROUND('Components UNIV HS &amp; FGP'!H7/'Components UNIV HS &amp; FGP'!H$25,3)</f>
        <v>4.1000000000000002E-2</v>
      </c>
      <c r="L7" s="4">
        <f>ROUND('Components UNIV HS &amp; FGP'!I7/'Components UNIV HS &amp; FGP'!I$25,3)</f>
        <v>4.2000000000000003E-2</v>
      </c>
      <c r="M7" s="4">
        <f>ROUND('Components UNIV HS &amp; FGP'!J7/'Components UNIV HS &amp; FGP'!J$25,3)</f>
        <v>9.6000000000000002E-2</v>
      </c>
      <c r="N7" s="4">
        <f>ROUND('Components UNIV HS &amp; FGP'!K7/'Components UNIV HS &amp; FGP'!K$25,3)</f>
        <v>0</v>
      </c>
      <c r="O7" s="4">
        <f>ROUND('Components UNIV HS &amp; FGP'!L7/'Components UNIV HS &amp; FGP'!L$25,3)</f>
        <v>0</v>
      </c>
      <c r="Q7" s="20" t="s">
        <v>96</v>
      </c>
      <c r="R7" s="4">
        <f>ROUND('Components UNIV HS &amp; FGP'!O7/'Components UNIV HS &amp; FGP'!O$25,3)</f>
        <v>0.10100000000000001</v>
      </c>
      <c r="S7" s="4">
        <f>ROUND('Components UNIV HS &amp; FGP'!P7/'Components UNIV HS &amp; FGP'!P$25,3)</f>
        <v>7.5999999999999998E-2</v>
      </c>
      <c r="T7" s="4">
        <f>ROUND('Components UNIV HS &amp; FGP'!Q7/'Components UNIV HS &amp; FGP'!Q$25,3)</f>
        <v>0.08</v>
      </c>
      <c r="U7" s="4">
        <f>ROUND('Components UNIV HS &amp; FGP'!R7/'Components UNIV HS &amp; FGP'!R$25,3)+0.0005</f>
        <v>6.25E-2</v>
      </c>
    </row>
    <row r="8" spans="1:22">
      <c r="A8" s="32" t="s">
        <v>97</v>
      </c>
      <c r="B8" s="33" t="s">
        <v>130</v>
      </c>
      <c r="C8" t="s">
        <v>155</v>
      </c>
      <c r="D8" t="s">
        <v>156</v>
      </c>
      <c r="E8" s="29">
        <f>ROUND('Components UNIV HS &amp; FGP'!B8/'Components UNIV HS &amp; FGP'!$B$25,3)-0.005</f>
        <v>0.32100000000000001</v>
      </c>
      <c r="F8" s="29">
        <f>ROUND('Components UNIV HS &amp; FGP'!C8/'Components UNIV HS &amp; FGP'!$C$25,3)</f>
        <v>0.42</v>
      </c>
      <c r="G8" s="29">
        <f>ROUND('Components UNIV HS &amp; FGP'!D8/'Components UNIV HS &amp; FGP'!$D$25,3)</f>
        <v>0</v>
      </c>
      <c r="H8" s="29">
        <f>ROUND('Components UNIV HS &amp; FGP'!E8/'Components UNIV HS &amp; FGP'!$E$25,3)</f>
        <v>0</v>
      </c>
      <c r="I8" s="29">
        <f>ROUND('Components UNIV HS &amp; FGP'!F8/'Components UNIV HS &amp; FGP'!$F$25,3)</f>
        <v>0</v>
      </c>
      <c r="J8" s="30"/>
      <c r="K8" s="29">
        <f>ROUND('Components UNIV HS &amp; FGP'!H8/'Components UNIV HS &amp; FGP'!H$25,3)</f>
        <v>0.41699999999999998</v>
      </c>
      <c r="L8" s="29">
        <f>ROUND('Components UNIV HS &amp; FGP'!I8/'Components UNIV HS &amp; FGP'!I$25,3)-0.0036</f>
        <v>0.40539999999999998</v>
      </c>
      <c r="M8" s="29">
        <f>ROUND('Components UNIV HS &amp; FGP'!J8/'Components UNIV HS &amp; FGP'!J$25,3)</f>
        <v>0</v>
      </c>
      <c r="N8" s="29">
        <f>ROUND('Components UNIV HS &amp; FGP'!K8/'Components UNIV HS &amp; FGP'!K$25,3)</f>
        <v>0</v>
      </c>
      <c r="O8" s="29">
        <f>ROUND('Components UNIV HS &amp; FGP'!L8/'Components UNIV HS &amp; FGP'!L$25,3)</f>
        <v>0</v>
      </c>
      <c r="Q8" s="29" t="s">
        <v>97</v>
      </c>
      <c r="R8" s="4">
        <f>ROUND('Components UNIV HS &amp; FGP'!O8/'Components UNIV HS &amp; FGP'!O$25,3)</f>
        <v>0.122</v>
      </c>
      <c r="S8" s="4">
        <f>ROUND('Components UNIV HS &amp; FGP'!P8/'Components UNIV HS &amp; FGP'!P$25,3)-0.002</f>
        <v>8.8999999999999996E-2</v>
      </c>
      <c r="T8" s="4">
        <f>ROUND('Components UNIV HS &amp; FGP'!Q8/'Components UNIV HS &amp; FGP'!Q$25,3)-0.001</f>
        <v>9.5000000000000001E-2</v>
      </c>
      <c r="U8" s="4">
        <f>ROUND('Components UNIV HS &amp; FGP'!R8/'Components UNIV HS &amp; FGP'!R$25,3)+0.001</f>
        <v>7.4999999999999997E-2</v>
      </c>
    </row>
    <row r="9" spans="1:22">
      <c r="A9" s="32" t="s">
        <v>98</v>
      </c>
      <c r="B9" s="33" t="s">
        <v>133</v>
      </c>
      <c r="C9" t="s">
        <v>155</v>
      </c>
      <c r="D9" t="s">
        <v>156</v>
      </c>
      <c r="E9" s="29">
        <f>ROUND('Components UNIV HS &amp; FGP'!B9/'Components UNIV HS &amp; FGP'!$B$25,3)</f>
        <v>4.5999999999999999E-2</v>
      </c>
      <c r="F9" s="29">
        <f>ROUND('Components UNIV HS &amp; FGP'!C9/'Components UNIV HS &amp; FGP'!$C$25,3)</f>
        <v>5.8000000000000003E-2</v>
      </c>
      <c r="G9" s="29">
        <f>ROUND('Components UNIV HS &amp; FGP'!D9/'Components UNIV HS &amp; FGP'!$D$25,3)</f>
        <v>0</v>
      </c>
      <c r="H9" s="29">
        <f>ROUND('Components UNIV HS &amp; FGP'!E9/'Components UNIV HS &amp; FGP'!$E$25,3)</f>
        <v>0</v>
      </c>
      <c r="I9" s="29">
        <f>ROUND('Components UNIV HS &amp; FGP'!F9/'Components UNIV HS &amp; FGP'!$F$25,3)</f>
        <v>0</v>
      </c>
      <c r="J9" s="30"/>
      <c r="K9" s="29">
        <f>ROUND('Components UNIV HS &amp; FGP'!H9/'Components UNIV HS &amp; FGP'!H$25,3)</f>
        <v>5.7000000000000002E-2</v>
      </c>
      <c r="L9" s="29">
        <f>ROUND('Components UNIV HS &amp; FGP'!I9/'Components UNIV HS &amp; FGP'!I$25,3)</f>
        <v>5.6000000000000001E-2</v>
      </c>
      <c r="M9" s="29">
        <f>ROUND('Components UNIV HS &amp; FGP'!J9/'Components UNIV HS &amp; FGP'!J$25,3)</f>
        <v>0</v>
      </c>
      <c r="N9" s="29">
        <f>ROUND('Components UNIV HS &amp; FGP'!K9/'Components UNIV HS &amp; FGP'!K$25,3)</f>
        <v>0</v>
      </c>
      <c r="O9" s="29">
        <f>ROUND('Components UNIV HS &amp; FGP'!L9/'Components UNIV HS &amp; FGP'!L$25,3)</f>
        <v>0</v>
      </c>
      <c r="Q9" s="29" t="s">
        <v>98</v>
      </c>
      <c r="R9" s="4">
        <f>ROUND('Components UNIV HS &amp; FGP'!O9/'Components UNIV HS &amp; FGP'!O$25,3)</f>
        <v>0.02</v>
      </c>
      <c r="S9" s="4">
        <f>ROUND('Components UNIV HS &amp; FGP'!P9/'Components UNIV HS &amp; FGP'!P$25,3)</f>
        <v>1.4999999999999999E-2</v>
      </c>
      <c r="T9" s="4">
        <f>ROUND('Components UNIV HS &amp; FGP'!Q9/'Components UNIV HS &amp; FGP'!Q$25,3)</f>
        <v>1.6E-2</v>
      </c>
      <c r="U9" s="4">
        <f>ROUND('Components UNIV HS &amp; FGP'!R9/'Components UNIV HS &amp; FGP'!R$25,3)</f>
        <v>1.2E-2</v>
      </c>
    </row>
    <row r="10" spans="1:22">
      <c r="A10" s="32" t="s">
        <v>99</v>
      </c>
      <c r="B10" s="33" t="s">
        <v>132</v>
      </c>
      <c r="C10" t="s">
        <v>155</v>
      </c>
      <c r="D10" t="s">
        <v>156</v>
      </c>
      <c r="E10" s="29">
        <f>ROUND('Components UNIV HS &amp; FGP'!B10/'Components UNIV HS &amp; FGP'!$B$25,3)</f>
        <v>4.0000000000000001E-3</v>
      </c>
      <c r="F10" s="29">
        <f>ROUND('Components UNIV HS &amp; FGP'!C10/'Components UNIV HS &amp; FGP'!$C$25,3)</f>
        <v>5.0000000000000001E-3</v>
      </c>
      <c r="G10" s="29">
        <f>ROUND('Components UNIV HS &amp; FGP'!D10/'Components UNIV HS &amp; FGP'!$D$25,3)</f>
        <v>0</v>
      </c>
      <c r="H10" s="29">
        <f>ROUND('Components UNIV HS &amp; FGP'!E10/'Components UNIV HS &amp; FGP'!$E$25,3)</f>
        <v>0</v>
      </c>
      <c r="I10" s="29">
        <f>ROUND('Components UNIV HS &amp; FGP'!F10/'Components UNIV HS &amp; FGP'!$F$25,3)</f>
        <v>0</v>
      </c>
      <c r="J10" s="30"/>
      <c r="K10" s="29">
        <f>ROUND('Components UNIV HS &amp; FGP'!H10/'Components UNIV HS &amp; FGP'!H$25,3)</f>
        <v>5.0000000000000001E-3</v>
      </c>
      <c r="L10" s="29">
        <f>ROUND('Components UNIV HS &amp; FGP'!I10/'Components UNIV HS &amp; FGP'!I$25,3)</f>
        <v>6.0000000000000001E-3</v>
      </c>
      <c r="M10" s="29">
        <f>ROUND('Components UNIV HS &amp; FGP'!J10/'Components UNIV HS &amp; FGP'!J$25,3)</f>
        <v>0</v>
      </c>
      <c r="N10" s="29">
        <f>ROUND('Components UNIV HS &amp; FGP'!K10/'Components UNIV HS &amp; FGP'!K$25,3)</f>
        <v>0</v>
      </c>
      <c r="O10" s="29">
        <f>ROUND('Components UNIV HS &amp; FGP'!L10/'Components UNIV HS &amp; FGP'!L$25,3)</f>
        <v>0</v>
      </c>
      <c r="Q10" s="29" t="s">
        <v>99</v>
      </c>
      <c r="R10" s="4">
        <f>ROUND('Components UNIV HS &amp; FGP'!O10/'Components UNIV HS &amp; FGP'!O$25,3)</f>
        <v>7.0000000000000001E-3</v>
      </c>
      <c r="S10" s="4">
        <f>ROUND('Components UNIV HS &amp; FGP'!P10/'Components UNIV HS &amp; FGP'!P$25,3)</f>
        <v>5.0000000000000001E-3</v>
      </c>
      <c r="T10" s="4">
        <f>ROUND('Components UNIV HS &amp; FGP'!Q10/'Components UNIV HS &amp; FGP'!Q$25,3)</f>
        <v>5.0000000000000001E-3</v>
      </c>
      <c r="U10" s="4">
        <f>ROUND('Components UNIV HS &amp; FGP'!R10/'Components UNIV HS &amp; FGP'!R$25,3)</f>
        <v>4.0000000000000001E-3</v>
      </c>
    </row>
    <row r="11" spans="1:22">
      <c r="A11" s="32" t="s">
        <v>100</v>
      </c>
      <c r="B11" s="33" t="s">
        <v>131</v>
      </c>
      <c r="C11" t="s">
        <v>155</v>
      </c>
      <c r="D11" t="s">
        <v>156</v>
      </c>
      <c r="E11" s="29">
        <f>ROUND('Components UNIV HS &amp; FGP'!B11/'Components UNIV HS &amp; FGP'!$B$25,3)</f>
        <v>4.0000000000000001E-3</v>
      </c>
      <c r="F11" s="29">
        <f>ROUND('Components UNIV HS &amp; FGP'!C11/'Components UNIV HS &amp; FGP'!$C$25,3)</f>
        <v>5.0000000000000001E-3</v>
      </c>
      <c r="G11" s="29">
        <f>ROUND('Components UNIV HS &amp; FGP'!D11/'Components UNIV HS &amp; FGP'!$D$25,3)</f>
        <v>0</v>
      </c>
      <c r="H11" s="29">
        <f>ROUND('Components UNIV HS &amp; FGP'!E11/'Components UNIV HS &amp; FGP'!$E$25,3)</f>
        <v>0</v>
      </c>
      <c r="I11" s="29">
        <f>ROUND('Components UNIV HS &amp; FGP'!F11/'Components UNIV HS &amp; FGP'!$F$25,3)</f>
        <v>0</v>
      </c>
      <c r="J11" s="30"/>
      <c r="K11" s="29">
        <f>ROUND('Components UNIV HS &amp; FGP'!H11/'Components UNIV HS &amp; FGP'!H$25,3)</f>
        <v>5.0000000000000001E-3</v>
      </c>
      <c r="L11" s="29">
        <f>ROUND('Components UNIV HS &amp; FGP'!I11/'Components UNIV HS &amp; FGP'!I$25,3)</f>
        <v>6.0000000000000001E-3</v>
      </c>
      <c r="M11" s="29">
        <f>ROUND('Components UNIV HS &amp; FGP'!J11/'Components UNIV HS &amp; FGP'!J$25,3)</f>
        <v>0</v>
      </c>
      <c r="N11" s="29">
        <f>ROUND('Components UNIV HS &amp; FGP'!K11/'Components UNIV HS &amp; FGP'!K$25,3)</f>
        <v>0</v>
      </c>
      <c r="O11" s="29">
        <f>ROUND('Components UNIV HS &amp; FGP'!L11/'Components UNIV HS &amp; FGP'!L$25,3)</f>
        <v>0</v>
      </c>
      <c r="Q11" s="29" t="s">
        <v>100</v>
      </c>
      <c r="R11" s="4">
        <f>ROUND('Components UNIV HS &amp; FGP'!O11/'Components UNIV HS &amp; FGP'!O$25,3)</f>
        <v>0</v>
      </c>
      <c r="S11" s="4">
        <f>ROUND('Components UNIV HS &amp; FGP'!P11/'Components UNIV HS &amp; FGP'!P$25,3)</f>
        <v>0</v>
      </c>
      <c r="T11" s="4">
        <f>ROUND('Components UNIV HS &amp; FGP'!Q11/'Components UNIV HS &amp; FGP'!Q$25,3)</f>
        <v>0</v>
      </c>
      <c r="U11" s="4">
        <f>ROUND('Components UNIV HS &amp; FGP'!R11/'Components UNIV HS &amp; FGP'!R$25,3)</f>
        <v>0</v>
      </c>
    </row>
    <row r="12" spans="1:22">
      <c r="A12" s="32" t="s">
        <v>101</v>
      </c>
      <c r="B12" s="33"/>
      <c r="C12" t="s">
        <v>155</v>
      </c>
      <c r="D12" t="s">
        <v>156</v>
      </c>
      <c r="E12" s="29">
        <f>SUM(E8:E11)</f>
        <v>0.375</v>
      </c>
      <c r="F12" s="29">
        <f t="shared" ref="F12:I12" si="0">SUM(F8:F11)</f>
        <v>0.48799999999999999</v>
      </c>
      <c r="G12" s="29">
        <f t="shared" si="0"/>
        <v>0</v>
      </c>
      <c r="H12" s="29">
        <f t="shared" si="0"/>
        <v>0</v>
      </c>
      <c r="I12" s="29">
        <f t="shared" si="0"/>
        <v>0</v>
      </c>
      <c r="J12" s="30"/>
      <c r="K12" s="29">
        <f t="shared" ref="K12:O12" si="1">SUM(K8:K11)</f>
        <v>0.48399999999999999</v>
      </c>
      <c r="L12" s="29">
        <f t="shared" si="1"/>
        <v>0.47339999999999999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Q12" s="29" t="s">
        <v>101</v>
      </c>
      <c r="R12" s="26">
        <f>SUM(R8:R11)</f>
        <v>0.14899999999999999</v>
      </c>
      <c r="S12" s="26">
        <f t="shared" ref="S12:U12" si="2">SUM(S8:S11)</f>
        <v>0.109</v>
      </c>
      <c r="T12" s="26">
        <f t="shared" si="2"/>
        <v>0.11600000000000001</v>
      </c>
      <c r="U12" s="26">
        <f t="shared" si="2"/>
        <v>9.0999999999999998E-2</v>
      </c>
    </row>
    <row r="13" spans="1:22">
      <c r="A13" s="32" t="s">
        <v>102</v>
      </c>
      <c r="B13" s="33"/>
      <c r="C13" t="s">
        <v>155</v>
      </c>
      <c r="D13" t="s">
        <v>156</v>
      </c>
      <c r="E13" s="29">
        <f>ROUND('Components UNIV HS &amp; FGP'!B13/'Components UNIV HS &amp; FGP'!$B$25,3)-0.002</f>
        <v>0.375</v>
      </c>
      <c r="F13" s="29">
        <f>ROUND('Components UNIV HS &amp; FGP'!C13/'Components UNIV HS &amp; FGP'!$C$25,3)</f>
        <v>0.48799999999999999</v>
      </c>
      <c r="G13" s="29">
        <f>ROUND('Components UNIV HS &amp; FGP'!D13/'Components UNIV HS &amp; FGP'!$D$25,3)</f>
        <v>0</v>
      </c>
      <c r="H13" s="29">
        <f>ROUND('Components UNIV HS &amp; FGP'!E13/'Components UNIV HS &amp; FGP'!$E$25,3)</f>
        <v>0</v>
      </c>
      <c r="I13" s="29">
        <f>ROUND('Components UNIV HS &amp; FGP'!F13/'Components UNIV HS &amp; FGP'!$F$25,3)</f>
        <v>0</v>
      </c>
      <c r="J13" s="30"/>
      <c r="K13" s="29">
        <f>ROUND('Components UNIV HS &amp; FGP'!H13/'Components UNIV HS &amp; FGP'!H$25,3)-0.001</f>
        <v>0.48399999999999999</v>
      </c>
      <c r="L13" s="29">
        <f>ROUND('Components UNIV HS &amp; FGP'!I13/'Components UNIV HS &amp; FGP'!I$25,3)-0.003</f>
        <v>0.47299999999999998</v>
      </c>
      <c r="M13" s="29">
        <f>ROUND('Components UNIV HS &amp; FGP'!J13/'Components UNIV HS &amp; FGP'!J$25,3)</f>
        <v>0</v>
      </c>
      <c r="N13" s="29">
        <f>ROUND('Components UNIV HS &amp; FGP'!K13/'Components UNIV HS &amp; FGP'!K$25,3)</f>
        <v>0</v>
      </c>
      <c r="O13" s="29">
        <f>ROUND('Components UNIV HS &amp; FGP'!L13/'Components UNIV HS &amp; FGP'!L$25,3)</f>
        <v>0</v>
      </c>
      <c r="Q13" s="20" t="s">
        <v>102</v>
      </c>
      <c r="R13" s="4">
        <f>ROUND('Components UNIV HS &amp; FGP'!O13/'Components UNIV HS &amp; FGP'!O$25,3)</f>
        <v>0.14899999999999999</v>
      </c>
      <c r="S13" s="4">
        <f>ROUND('Components UNIV HS &amp; FGP'!P13/'Components UNIV HS &amp; FGP'!P$25,3)-0.002</f>
        <v>0.109</v>
      </c>
      <c r="T13" s="4">
        <f>ROUND('Components UNIV HS &amp; FGP'!Q13/'Components UNIV HS &amp; FGP'!Q$25,3)-0.001</f>
        <v>0.11600000000000001</v>
      </c>
      <c r="U13" s="4">
        <f>ROUND('Components UNIV HS &amp; FGP'!R13/'Components UNIV HS &amp; FGP'!R$25,3)</f>
        <v>9.0999999999999998E-2</v>
      </c>
    </row>
    <row r="14" spans="1:22">
      <c r="A14" s="27" t="s">
        <v>126</v>
      </c>
      <c r="B14" s="27" t="s">
        <v>134</v>
      </c>
      <c r="C14" t="s">
        <v>155</v>
      </c>
      <c r="D14" t="s">
        <v>156</v>
      </c>
      <c r="E14" s="4">
        <f>ROUND('Components UNIV HS &amp; FGP'!B14/'Components UNIV HS &amp; FGP'!$B$25,3)</f>
        <v>5.0000000000000001E-3</v>
      </c>
      <c r="F14" s="4">
        <f>ROUND('Components UNIV HS &amp; FGP'!C14/'Components UNIV HS &amp; FGP'!$C$25,3)-0.001</f>
        <v>4.0000000000000001E-3</v>
      </c>
      <c r="G14" s="4">
        <f>ROUND('Components UNIV HS &amp; FGP'!D14/'Components UNIV HS &amp; FGP'!$D$25,3)</f>
        <v>0.01</v>
      </c>
      <c r="H14" s="4">
        <f>0.002/0.003</f>
        <v>0.66666666666666663</v>
      </c>
      <c r="I14" s="4">
        <f>ROUND('Components UNIV HS &amp; FGP'!F14/'Components UNIV HS &amp; FGP'!$F$25,3)</f>
        <v>1.6E-2</v>
      </c>
      <c r="K14" s="4">
        <f>ROUND('Components UNIV HS &amp; FGP'!H14/'Components UNIV HS &amp; FGP'!H$25,3)</f>
        <v>5.0000000000000001E-3</v>
      </c>
      <c r="L14" s="4">
        <f>ROUND('Components UNIV HS &amp; FGP'!I14/'Components UNIV HS &amp; FGP'!I$25,3)</f>
        <v>4.0000000000000001E-3</v>
      </c>
      <c r="M14" s="4">
        <f>ROUND('Components UNIV HS &amp; FGP'!J14/'Components UNIV HS &amp; FGP'!J$25,3)-0.0006</f>
        <v>7.4000000000000003E-3</v>
      </c>
      <c r="N14" s="4">
        <f>ROUND('Components UNIV HS &amp; FGP'!K14/'Components UNIV HS &amp; FGP'!K$25,3)</f>
        <v>0.4</v>
      </c>
      <c r="O14" s="4">
        <f>ROUND('Components UNIV HS &amp; FGP'!L14/'Components UNIV HS &amp; FGP'!L$25,3)</f>
        <v>1.6E-2</v>
      </c>
      <c r="Q14" s="20" t="s">
        <v>103</v>
      </c>
      <c r="R14" s="4">
        <f>ROUND('Components UNIV HS &amp; FGP'!O14/'Components UNIV HS &amp; FGP'!O$25,3)</f>
        <v>0.01</v>
      </c>
      <c r="S14" s="4">
        <f>ROUND('Components UNIV HS &amp; FGP'!P14/'Components UNIV HS &amp; FGP'!P$25,3)</f>
        <v>8.0000000000000002E-3</v>
      </c>
      <c r="T14" s="4">
        <f>ROUND('Components UNIV HS &amp; FGP'!Q14/'Components UNIV HS &amp; FGP'!Q$25,3)</f>
        <v>8.0000000000000002E-3</v>
      </c>
      <c r="U14" s="4">
        <f>ROUND('Components UNIV HS &amp; FGP'!R14/'Components UNIV HS &amp; FGP'!R$25,3)</f>
        <v>6.0000000000000001E-3</v>
      </c>
    </row>
    <row r="15" spans="1:22">
      <c r="A15" s="27" t="s">
        <v>42</v>
      </c>
      <c r="B15" s="27" t="s">
        <v>135</v>
      </c>
      <c r="C15" t="s">
        <v>155</v>
      </c>
      <c r="D15" t="s">
        <v>156</v>
      </c>
      <c r="E15" s="4">
        <f>ROUND('Components UNIV HS &amp; FGP'!B15/'Components UNIV HS &amp; FGP'!$B$25,3)</f>
        <v>1.0999999999999999E-2</v>
      </c>
      <c r="F15" s="4">
        <f>ROUND('Components UNIV HS &amp; FGP'!C15/'Components UNIV HS &amp; FGP'!$C$25,3)</f>
        <v>8.0000000000000002E-3</v>
      </c>
      <c r="G15" s="4">
        <f>ROUND('Components UNIV HS &amp; FGP'!D15/'Components UNIV HS &amp; FGP'!$D$25,3)</f>
        <v>0</v>
      </c>
      <c r="H15" s="4">
        <f>ROUND('Components UNIV HS &amp; FGP'!E15/'Components UNIV HS &amp; FGP'!$E$25,3)</f>
        <v>0</v>
      </c>
      <c r="I15" s="4">
        <f>ROUND('Components UNIV HS &amp; FGP'!F15/'Components UNIV HS &amp; FGP'!$F$25,3)</f>
        <v>0</v>
      </c>
      <c r="K15" s="4">
        <f>ROUND('Components UNIV HS &amp; FGP'!H15/'Components UNIV HS &amp; FGP'!H$25,3)</f>
        <v>8.0000000000000002E-3</v>
      </c>
      <c r="L15" s="4">
        <f>ROUND('Components UNIV HS &amp; FGP'!I15/'Components UNIV HS &amp; FGP'!I$25,3)</f>
        <v>8.0000000000000002E-3</v>
      </c>
      <c r="M15" s="4">
        <f>ROUND('Components UNIV HS &amp; FGP'!J15/'Components UNIV HS &amp; FGP'!J$25,3)</f>
        <v>0</v>
      </c>
      <c r="N15" s="4">
        <f>ROUND('Components UNIV HS &amp; FGP'!K15/'Components UNIV HS &amp; FGP'!K$25,3)</f>
        <v>0</v>
      </c>
      <c r="O15" s="4">
        <f>ROUND('Components UNIV HS &amp; FGP'!L15/'Components UNIV HS &amp; FGP'!L$25,3)</f>
        <v>0</v>
      </c>
      <c r="Q15" s="20" t="s">
        <v>104</v>
      </c>
      <c r="R15" s="4">
        <f>ROUND('Components UNIV HS &amp; FGP'!O15/'Components UNIV HS &amp; FGP'!O$25,3)</f>
        <v>0.02</v>
      </c>
      <c r="S15" s="4">
        <f>ROUND('Components UNIV HS &amp; FGP'!P15/'Components UNIV HS &amp; FGP'!P$25,3)</f>
        <v>1.4999999999999999E-2</v>
      </c>
      <c r="T15" s="4">
        <f>ROUND('Components UNIV HS &amp; FGP'!Q15/'Components UNIV HS &amp; FGP'!Q$25,3)</f>
        <v>1.6E-2</v>
      </c>
      <c r="U15" s="4">
        <f>ROUND('Components UNIV HS &amp; FGP'!R15/'Components UNIV HS &amp; FGP'!R$25,3)</f>
        <v>1.2E-2</v>
      </c>
    </row>
    <row r="16" spans="1:22">
      <c r="A16" s="27" t="s">
        <v>43</v>
      </c>
      <c r="B16" s="27" t="s">
        <v>136</v>
      </c>
      <c r="C16" t="s">
        <v>155</v>
      </c>
      <c r="D16" t="s">
        <v>156</v>
      </c>
      <c r="E16" s="4">
        <f>ROUND('Components UNIV HS &amp; FGP'!B16/'Components UNIV HS &amp; FGP'!$B$25,3)</f>
        <v>7.0000000000000001E-3</v>
      </c>
      <c r="F16" s="4">
        <f>ROUND('Components UNIV HS &amp; FGP'!C16/'Components UNIV HS &amp; FGP'!$C$25,3)</f>
        <v>5.0000000000000001E-3</v>
      </c>
      <c r="G16" s="4">
        <f>ROUND('Components UNIV HS &amp; FGP'!D16/'Components UNIV HS &amp; FGP'!$D$25,3)</f>
        <v>0</v>
      </c>
      <c r="H16" s="4">
        <f>ROUND('Components UNIV HS &amp; FGP'!E16/'Components UNIV HS &amp; FGP'!$E$25,3)</f>
        <v>0</v>
      </c>
      <c r="I16" s="4">
        <f>ROUND('Components UNIV HS &amp; FGP'!F16/'Components UNIV HS &amp; FGP'!$F$25,3)</f>
        <v>0</v>
      </c>
      <c r="K16" s="4">
        <f>ROUND('Components UNIV HS &amp; FGP'!H16/'Components UNIV HS &amp; FGP'!H$25,3)</f>
        <v>5.0000000000000001E-3</v>
      </c>
      <c r="L16" s="4">
        <f>ROUND('Components UNIV HS &amp; FGP'!I16/'Components UNIV HS &amp; FGP'!I$25,3)</f>
        <v>6.0000000000000001E-3</v>
      </c>
      <c r="M16" s="4">
        <f>ROUND('Components UNIV HS &amp; FGP'!J16/'Components UNIV HS &amp; FGP'!J$25,3)</f>
        <v>0</v>
      </c>
      <c r="N16" s="4">
        <f>ROUND('Components UNIV HS &amp; FGP'!K16/'Components UNIV HS &amp; FGP'!K$25,3)</f>
        <v>0</v>
      </c>
      <c r="O16" s="4">
        <f>ROUND('Components UNIV HS &amp; FGP'!L16/'Components UNIV HS &amp; FGP'!L$25,3)</f>
        <v>0</v>
      </c>
      <c r="Q16" s="20" t="s">
        <v>105</v>
      </c>
      <c r="R16" s="4">
        <f>ROUND('Components UNIV HS &amp; FGP'!O16/'Components UNIV HS &amp; FGP'!O$25,3)</f>
        <v>1.4E-2</v>
      </c>
      <c r="S16" s="4">
        <f>ROUND('Components UNIV HS &amp; FGP'!P16/'Components UNIV HS &amp; FGP'!P$25,3)</f>
        <v>0.01</v>
      </c>
      <c r="T16" s="4">
        <f>ROUND('Components UNIV HS &amp; FGP'!Q16/'Components UNIV HS &amp; FGP'!Q$25,3)</f>
        <v>1.0999999999999999E-2</v>
      </c>
      <c r="U16" s="4">
        <f>ROUND('Components UNIV HS &amp; FGP'!R16/'Components UNIV HS &amp; FGP'!R$25,3)</f>
        <v>8.0000000000000002E-3</v>
      </c>
    </row>
    <row r="17" spans="1:21">
      <c r="A17" s="27" t="s">
        <v>44</v>
      </c>
      <c r="B17" s="28" t="s">
        <v>137</v>
      </c>
      <c r="C17" t="s">
        <v>155</v>
      </c>
      <c r="D17" t="s">
        <v>156</v>
      </c>
      <c r="E17" s="4">
        <f>ROUND('Components UNIV HS &amp; FGP'!B17/'Components UNIV HS &amp; FGP'!$B$25,3)</f>
        <v>2E-3</v>
      </c>
      <c r="F17" s="4">
        <f>ROUND('Components UNIV HS &amp; FGP'!C17/'Components UNIV HS &amp; FGP'!$C$25,3)</f>
        <v>1E-3</v>
      </c>
      <c r="G17" s="4">
        <f>ROUND('Components UNIV HS &amp; FGP'!D17/'Components UNIV HS &amp; FGP'!$D$25,3)</f>
        <v>3.0000000000000001E-3</v>
      </c>
      <c r="H17" s="4">
        <f>ROUND('Components UNIV HS &amp; FGP'!E17/'Components UNIV HS &amp; FGP'!$E$25,3)</f>
        <v>0</v>
      </c>
      <c r="I17" s="4">
        <f>ROUND('Components UNIV HS &amp; FGP'!F17/'Components UNIV HS &amp; FGP'!$F$25,3)</f>
        <v>0</v>
      </c>
      <c r="K17" s="4">
        <f>ROUND('Components UNIV HS &amp; FGP'!H17/'Components UNIV HS &amp; FGP'!H$25,3)</f>
        <v>1E-3</v>
      </c>
      <c r="L17" s="4">
        <f>ROUND('Components UNIV HS &amp; FGP'!I17/'Components UNIV HS &amp; FGP'!I$25,3)</f>
        <v>1E-3</v>
      </c>
      <c r="M17" s="4">
        <f>ROUND('Components UNIV HS &amp; FGP'!J17/'Components UNIV HS &amp; FGP'!J$25,3)</f>
        <v>3.0000000000000001E-3</v>
      </c>
      <c r="N17" s="4">
        <f>ROUND('Components UNIV HS &amp; FGP'!K17/'Components UNIV HS &amp; FGP'!K$25,3)</f>
        <v>0</v>
      </c>
      <c r="O17" s="4">
        <f>ROUND('Components UNIV HS &amp; FGP'!L17/'Components UNIV HS &amp; FGP'!L$25,3)</f>
        <v>0</v>
      </c>
      <c r="Q17" s="20" t="s">
        <v>106</v>
      </c>
      <c r="R17" s="4">
        <f>ROUND('Components UNIV HS &amp; FGP'!O17/'Components UNIV HS &amp; FGP'!O$25,3)</f>
        <v>3.0000000000000001E-3</v>
      </c>
      <c r="S17" s="4">
        <f>ROUND('Components UNIV HS &amp; FGP'!P17/'Components UNIV HS &amp; FGP'!P$25,3)</f>
        <v>3.0000000000000001E-3</v>
      </c>
      <c r="T17" s="4">
        <f>ROUND('Components UNIV HS &amp; FGP'!Q17/'Components UNIV HS &amp; FGP'!Q$25,3)</f>
        <v>3.0000000000000001E-3</v>
      </c>
      <c r="U17" s="4">
        <f>ROUND('Components UNIV HS &amp; FGP'!R17/'Components UNIV HS &amp; FGP'!R$25,3)</f>
        <v>2E-3</v>
      </c>
    </row>
    <row r="18" spans="1:21">
      <c r="A18" s="27" t="s">
        <v>125</v>
      </c>
      <c r="B18" s="28" t="s">
        <v>138</v>
      </c>
      <c r="C18" t="s">
        <v>155</v>
      </c>
      <c r="D18" t="s">
        <v>156</v>
      </c>
      <c r="E18" s="4">
        <f>ROUND('Components UNIV HS &amp; FGP'!B18/'Components UNIV HS &amp; FGP'!$B$25,3)</f>
        <v>4.0000000000000001E-3</v>
      </c>
      <c r="F18" s="4">
        <f>ROUND('Components UNIV HS &amp; FGP'!C18/'Components UNIV HS &amp; FGP'!$C$25,3)</f>
        <v>3.0000000000000001E-3</v>
      </c>
      <c r="G18" s="4">
        <f>ROUND('Components UNIV HS &amp; FGP'!D18/'Components UNIV HS &amp; FGP'!$D$25,3)</f>
        <v>6.0000000000000001E-3</v>
      </c>
      <c r="H18" s="4">
        <f>ROUND('Components UNIV HS &amp; FGP'!E18/'Components UNIV HS &amp; FGP'!$E$25,3)</f>
        <v>0.33300000000000002</v>
      </c>
      <c r="I18" s="4">
        <f>ROUND('Components UNIV HS &amp; FGP'!F18/'Components UNIV HS &amp; FGP'!$F$25,3)</f>
        <v>8.0000000000000002E-3</v>
      </c>
      <c r="K18" s="4">
        <f>ROUND('Components UNIV HS &amp; FGP'!H18/'Components UNIV HS &amp; FGP'!H$25,3)</f>
        <v>8.0000000000000002E-3</v>
      </c>
      <c r="L18" s="4">
        <f>ROUND('Components UNIV HS &amp; FGP'!I18/'Components UNIV HS &amp; FGP'!I$25,3)</f>
        <v>8.0000000000000002E-3</v>
      </c>
      <c r="M18" s="4">
        <f>ROUND('Components UNIV HS &amp; FGP'!J18/'Components UNIV HS &amp; FGP'!J$25,3)</f>
        <v>1.9E-2</v>
      </c>
      <c r="N18" s="4">
        <f>ROUND('Components UNIV HS &amp; FGP'!K18/'Components UNIV HS &amp; FGP'!K$25,3)</f>
        <v>0.6</v>
      </c>
      <c r="O18" s="4">
        <f>ROUND('Components UNIV HS &amp; FGP'!L18/'Components UNIV HS &amp; FGP'!L$25,3)</f>
        <v>2.3E-2</v>
      </c>
      <c r="Q18" s="20" t="s">
        <v>107</v>
      </c>
      <c r="R18" s="4">
        <f>ROUND('Components UNIV HS &amp; FGP'!O18/'Components UNIV HS &amp; FGP'!O$25,3)</f>
        <v>3.0000000000000001E-3</v>
      </c>
      <c r="S18" s="4">
        <f>ROUND('Components UNIV HS &amp; FGP'!P18/'Components UNIV HS &amp; FGP'!P$25,3)</f>
        <v>3.0000000000000001E-3</v>
      </c>
      <c r="T18" s="4">
        <f>ROUND('Components UNIV HS &amp; FGP'!Q18/'Components UNIV HS &amp; FGP'!Q$25,3)</f>
        <v>3.0000000000000001E-3</v>
      </c>
      <c r="U18" s="4">
        <f>ROUND('Components UNIV HS &amp; FGP'!R18/'Components UNIV HS &amp; FGP'!R$25,3)</f>
        <v>2E-3</v>
      </c>
    </row>
    <row r="19" spans="1:21">
      <c r="A19" s="27" t="s">
        <v>255</v>
      </c>
      <c r="B19" s="73" t="s">
        <v>257</v>
      </c>
      <c r="C19" t="s">
        <v>155</v>
      </c>
      <c r="D19" t="s">
        <v>156</v>
      </c>
      <c r="E19" s="4">
        <f>ROUND('Components UNIV HS &amp; FGP'!B19/'Components UNIV HS &amp; FGP'!$B$25,3)</f>
        <v>1.0999999999999999E-2</v>
      </c>
      <c r="F19" s="4">
        <f>ROUND('Components UNIV HS &amp; FGP'!C19/'Components UNIV HS &amp; FGP'!$B$25,3)</f>
        <v>1.4E-2</v>
      </c>
      <c r="G19" s="4">
        <f>ROUND('Components UNIV HS &amp; FGP'!D19/'Components UNIV HS &amp; FGP'!$B$25,3)</f>
        <v>0</v>
      </c>
      <c r="H19" s="4">
        <f>ROUND('Components UNIV HS &amp; FGP'!E19/'Components UNIV HS &amp; FGP'!$B$25,3)</f>
        <v>0</v>
      </c>
      <c r="I19" s="4">
        <f>ROUND('Components UNIV HS &amp; FGP'!F19/'Components UNIV HS &amp; FGP'!$B$25,3)</f>
        <v>0</v>
      </c>
      <c r="K19" s="4">
        <f>ROUND('Components UNIV HS &amp; FGP'!H19/'Components UNIV HS &amp; FGP'!$B$25,3)</f>
        <v>1.4E-2</v>
      </c>
      <c r="L19" s="4">
        <f>ROUND('Components UNIV HS &amp; FGP'!I19/'Components UNIV HS &amp; FGP'!$B$25,3)</f>
        <v>1.4E-2</v>
      </c>
      <c r="M19" s="4">
        <f>ROUND('Components UNIV HS &amp; FGP'!J19/'Components UNIV HS &amp; FGP'!$B$25,3)</f>
        <v>0</v>
      </c>
      <c r="N19" s="4">
        <f>ROUND('Components UNIV HS &amp; FGP'!K19/'Components UNIV HS &amp; FGP'!$B$25,3)</f>
        <v>0</v>
      </c>
      <c r="O19" s="4">
        <f>ROUND('Components UNIV HS &amp; FGP'!L19/'Components UNIV HS &amp; FGP'!$B$25,3)</f>
        <v>0</v>
      </c>
      <c r="Q19" s="20" t="s">
        <v>255</v>
      </c>
      <c r="R19" s="4">
        <f>ROUND('Components UNIV HS &amp; FGP'!O19/'Components UNIV HS &amp; FGP'!O$25,3)</f>
        <v>0</v>
      </c>
      <c r="S19" s="4">
        <f>ROUND('Components UNIV HS &amp; FGP'!P19/'Components UNIV HS &amp; FGP'!P$25,3)</f>
        <v>0</v>
      </c>
      <c r="T19" s="4">
        <f>ROUND('Components UNIV HS &amp; FGP'!Q19/'Components UNIV HS &amp; FGP'!Q$25,3)</f>
        <v>0</v>
      </c>
      <c r="U19" s="4">
        <f>ROUND('Components UNIV HS &amp; FGP'!R19/'Components UNIV HS &amp; FGP'!R$25,3)</f>
        <v>0</v>
      </c>
    </row>
    <row r="20" spans="1:21">
      <c r="A20" s="27" t="s">
        <v>52</v>
      </c>
      <c r="B20" s="28" t="s">
        <v>139</v>
      </c>
      <c r="C20" t="s">
        <v>155</v>
      </c>
      <c r="D20" t="s">
        <v>156</v>
      </c>
      <c r="E20" s="4">
        <f>ROUND('Components UNIV HS &amp; FGP'!B20/'Components UNIV HS &amp; FGP'!$B$25,3)</f>
        <v>2E-3</v>
      </c>
      <c r="F20" s="4">
        <f>ROUND('Components UNIV HS &amp; FGP'!C20/'Components UNIV HS &amp; FGP'!$C$25,3)</f>
        <v>1E-3</v>
      </c>
      <c r="G20" s="4">
        <f>ROUND('Components UNIV HS &amp; FGP'!D20/'Components UNIV HS &amp; FGP'!$D$25,3)</f>
        <v>0</v>
      </c>
      <c r="H20" s="4">
        <f>ROUND('Components UNIV HS &amp; FGP'!E20/'Components UNIV HS &amp; FGP'!$E$25,3)</f>
        <v>0</v>
      </c>
      <c r="I20" s="4">
        <f>ROUND('Components UNIV HS &amp; FGP'!F20/'Components UNIV HS &amp; FGP'!$F$25,3)</f>
        <v>0</v>
      </c>
      <c r="K20" s="4">
        <f>ROUND('Components UNIV HS &amp; FGP'!H20/'Components UNIV HS &amp; FGP'!H$25,3)</f>
        <v>1E-3</v>
      </c>
      <c r="L20" s="4">
        <f>ROUND('Components UNIV HS &amp; FGP'!I20/'Components UNIV HS &amp; FGP'!I$25,3)</f>
        <v>1E-3</v>
      </c>
      <c r="M20" s="4">
        <f>ROUND('Components UNIV HS &amp; FGP'!J20/'Components UNIV HS &amp; FGP'!J$25,3)</f>
        <v>0</v>
      </c>
      <c r="N20" s="4">
        <f>ROUND('Components UNIV HS &amp; FGP'!K20/'Components UNIV HS &amp; FGP'!K$25,3)</f>
        <v>0</v>
      </c>
      <c r="O20" s="4">
        <f>ROUND('Components UNIV HS &amp; FGP'!L20/'Components UNIV HS &amp; FGP'!L$25,3)</f>
        <v>0</v>
      </c>
      <c r="Q20" s="20" t="s">
        <v>108</v>
      </c>
      <c r="R20" s="4">
        <f>ROUND('Components UNIV HS &amp; FGP'!O20/'Components UNIV HS &amp; FGP'!O$25,3)</f>
        <v>3.0000000000000001E-3</v>
      </c>
      <c r="S20" s="4">
        <f>ROUND('Components UNIV HS &amp; FGP'!P20/'Components UNIV HS &amp; FGP'!P$25,3)</f>
        <v>3.0000000000000001E-3</v>
      </c>
      <c r="T20" s="4">
        <f>ROUND('Components UNIV HS &amp; FGP'!Q20/'Components UNIV HS &amp; FGP'!Q$25,3)</f>
        <v>3.0000000000000001E-3</v>
      </c>
      <c r="U20" s="4">
        <f>ROUND('Components UNIV HS &amp; FGP'!R20/'Components UNIV HS &amp; FGP'!R$25,3)</f>
        <v>2E-3</v>
      </c>
    </row>
    <row r="21" spans="1:21">
      <c r="A21" s="27" t="s">
        <v>53</v>
      </c>
      <c r="B21" s="28" t="s">
        <v>140</v>
      </c>
      <c r="C21" t="s">
        <v>155</v>
      </c>
      <c r="D21" t="s">
        <v>156</v>
      </c>
      <c r="E21" s="4">
        <f>ROUND('Components UNIV HS &amp; FGP'!B21/'Components UNIV HS &amp; FGP'!$B$25,3)</f>
        <v>1.4E-2</v>
      </c>
      <c r="F21" s="4">
        <f>ROUND('Components UNIV HS &amp; FGP'!C21/'Components UNIV HS &amp; FGP'!$C$25,3)</f>
        <v>1.6E-2</v>
      </c>
      <c r="G21" s="4">
        <f>ROUND('Components UNIV HS &amp; FGP'!D21/'Components UNIV HS &amp; FGP'!$D$25,3)</f>
        <v>0</v>
      </c>
      <c r="H21" s="4">
        <f>ROUND('Components UNIV HS &amp; FGP'!E21/'Components UNIV HS &amp; FGP'!$E$25,3)</f>
        <v>0</v>
      </c>
      <c r="I21" s="4">
        <f>ROUND('Components UNIV HS &amp; FGP'!F21/'Components UNIV HS &amp; FGP'!$F$25,3)</f>
        <v>0</v>
      </c>
      <c r="K21" s="4">
        <f>ROUND('Components UNIV HS &amp; FGP'!H21/'Components UNIV HS &amp; FGP'!H$25,3)</f>
        <v>1.6E-2</v>
      </c>
      <c r="L21" s="4">
        <f>ROUND('Components UNIV HS &amp; FGP'!I21/'Components UNIV HS &amp; FGP'!I$25,3)</f>
        <v>1.7000000000000001E-2</v>
      </c>
      <c r="M21" s="4">
        <f>ROUND('Components UNIV HS &amp; FGP'!J21/'Components UNIV HS &amp; FGP'!J$25,3)</f>
        <v>0</v>
      </c>
      <c r="N21" s="4">
        <f>ROUND('Components UNIV HS &amp; FGP'!K21/'Components UNIV HS &amp; FGP'!K$25,3)</f>
        <v>0</v>
      </c>
      <c r="O21" s="4">
        <f>ROUND('Components UNIV HS &amp; FGP'!L21/'Components UNIV HS &amp; FGP'!L$25,3)</f>
        <v>0</v>
      </c>
      <c r="Q21" s="20" t="s">
        <v>109</v>
      </c>
      <c r="R21" s="4">
        <f>ROUND('Components UNIV HS &amp; FGP'!O21/'Components UNIV HS &amp; FGP'!O$25,3)</f>
        <v>7.0000000000000001E-3</v>
      </c>
      <c r="S21" s="4">
        <f>ROUND('Components UNIV HS &amp; FGP'!P21/'Components UNIV HS &amp; FGP'!P$25,3)</f>
        <v>5.0000000000000001E-3</v>
      </c>
      <c r="T21" s="4">
        <f>ROUND('Components UNIV HS &amp; FGP'!Q21/'Components UNIV HS &amp; FGP'!Q$25,3)</f>
        <v>5.0000000000000001E-3</v>
      </c>
      <c r="U21" s="4">
        <f>ROUND('Components UNIV HS &amp; FGP'!R21/'Components UNIV HS &amp; FGP'!R$25,3)</f>
        <v>4.0000000000000001E-3</v>
      </c>
    </row>
    <row r="22" spans="1:21">
      <c r="A22" s="27" t="s">
        <v>48</v>
      </c>
      <c r="B22" s="28" t="s">
        <v>141</v>
      </c>
      <c r="C22" t="s">
        <v>155</v>
      </c>
      <c r="D22" t="s">
        <v>156</v>
      </c>
      <c r="E22" s="4">
        <f>ROUND('Components UNIV HS &amp; FGP'!B22/'Components UNIV HS &amp; FGP'!$B$25,3)</f>
        <v>0</v>
      </c>
      <c r="F22" s="4">
        <f>ROUND('Components UNIV HS &amp; FGP'!C22/'Components UNIV HS &amp; FGP'!$C$25,3)</f>
        <v>0</v>
      </c>
      <c r="G22" s="4">
        <f>ROUND('Components UNIV HS &amp; FGP'!D22/'Components UNIV HS &amp; FGP'!$D$25,3)</f>
        <v>0</v>
      </c>
      <c r="H22" s="4">
        <f>ROUND('Components UNIV HS &amp; FGP'!E22/'Components UNIV HS &amp; FGP'!$E$25,3)</f>
        <v>0</v>
      </c>
      <c r="I22" s="4">
        <f>ROUND('Components UNIV HS &amp; FGP'!F22/'Components UNIV HS &amp; FGP'!$F$25,3)-0.003</f>
        <v>0.97599999999999998</v>
      </c>
      <c r="K22" s="4">
        <f>ROUND('Components UNIV HS &amp; FGP'!H22/'Components UNIV HS &amp; FGP'!H$25,3)</f>
        <v>0</v>
      </c>
      <c r="L22" s="4">
        <f>ROUND('Components UNIV HS &amp; FGP'!I22/'Components UNIV HS &amp; FGP'!I$25,3)</f>
        <v>0</v>
      </c>
      <c r="M22" s="4">
        <f>ROUND('Components UNIV HS &amp; FGP'!J22/'Components UNIV HS &amp; FGP'!J$25,3)</f>
        <v>0</v>
      </c>
      <c r="N22" s="4">
        <f>ROUND('Components UNIV HS &amp; FGP'!K22/'Components UNIV HS &amp; FGP'!K$25,3)</f>
        <v>0</v>
      </c>
      <c r="O22" s="4">
        <f>ROUND('Components UNIV HS &amp; FGP'!L22/'Components UNIV HS &amp; FGP'!L$25,3)</f>
        <v>0.96099999999999997</v>
      </c>
      <c r="Q22" s="20" t="s">
        <v>110</v>
      </c>
      <c r="R22" s="4">
        <f>ROUND('Components UNIV HS &amp; FGP'!O22/'Components UNIV HS &amp; FGP'!O$25,3)</f>
        <v>0</v>
      </c>
      <c r="S22" s="4">
        <f>ROUND('Components UNIV HS &amp; FGP'!P22/'Components UNIV HS &amp; FGP'!P$25,3)</f>
        <v>0</v>
      </c>
      <c r="T22" s="4">
        <f>ROUND('Components UNIV HS &amp; FGP'!Q22/'Components UNIV HS &amp; FGP'!Q$25,3)</f>
        <v>0</v>
      </c>
      <c r="U22" s="4">
        <f>ROUND('Components UNIV HS &amp; FGP'!R22/'Components UNIV HS &amp; FGP'!R$25,3)</f>
        <v>0</v>
      </c>
    </row>
    <row r="23" spans="1:21">
      <c r="A23" s="27" t="s">
        <v>54</v>
      </c>
      <c r="B23" s="28" t="s">
        <v>142</v>
      </c>
      <c r="C23" t="s">
        <v>155</v>
      </c>
      <c r="D23" t="s">
        <v>156</v>
      </c>
      <c r="E23" s="4">
        <f>ROUND('Components UNIV HS &amp; FGP'!B23/'Components UNIV HS &amp; FGP'!$B$25,3)</f>
        <v>2.1000000000000001E-2</v>
      </c>
      <c r="F23" s="4">
        <f>ROUND('Components UNIV HS &amp; FGP'!C23/'Components UNIV HS &amp; FGP'!$C$25,3)</f>
        <v>2.7E-2</v>
      </c>
      <c r="G23" s="4">
        <f>ROUND('Components UNIV HS &amp; FGP'!D23/'Components UNIV HS &amp; FGP'!$D$25,3)</f>
        <v>0</v>
      </c>
      <c r="H23" s="4">
        <f>ROUND('Components UNIV HS &amp; FGP'!E23/'Components UNIV HS &amp; FGP'!$E$25,3)</f>
        <v>0</v>
      </c>
      <c r="I23" s="4">
        <f>ROUND('Components UNIV HS &amp; FGP'!F23/'Components UNIV HS &amp; FGP'!$F$25,3)</f>
        <v>0</v>
      </c>
      <c r="K23" s="4">
        <f>ROUND('Components UNIV HS &amp; FGP'!H23/'Components UNIV HS &amp; FGP'!H$25,3)</f>
        <v>2.7E-2</v>
      </c>
      <c r="L23" s="4">
        <f>ROUND('Components UNIV HS &amp; FGP'!I23/'Components UNIV HS &amp; FGP'!I$25,3)</f>
        <v>2.8000000000000001E-2</v>
      </c>
      <c r="M23" s="4">
        <f>ROUND('Components UNIV HS &amp; FGP'!J23/'Components UNIV HS &amp; FGP'!J$25,3)</f>
        <v>0</v>
      </c>
      <c r="N23" s="4">
        <f>ROUND('Components UNIV HS &amp; FGP'!K23/'Components UNIV HS &amp; FGP'!K$25,3)</f>
        <v>0</v>
      </c>
      <c r="O23" s="4">
        <f>ROUND('Components UNIV HS &amp; FGP'!L23/'Components UNIV HS &amp; FGP'!L$25,3)</f>
        <v>0</v>
      </c>
      <c r="Q23" s="20" t="s">
        <v>111</v>
      </c>
      <c r="R23" s="4">
        <f>ROUND('Components UNIV HS &amp; FGP'!O23/'Components UNIV HS &amp; FGP'!O$25,3)</f>
        <v>7.0000000000000001E-3</v>
      </c>
      <c r="S23" s="4">
        <f>ROUND('Components UNIV HS &amp; FGP'!P23/'Components UNIV HS &amp; FGP'!P$25,3)</f>
        <v>5.0000000000000001E-3</v>
      </c>
      <c r="T23" s="4">
        <f>ROUND('Components UNIV HS &amp; FGP'!Q23/'Components UNIV HS &amp; FGP'!Q$25,3)</f>
        <v>5.0000000000000001E-3</v>
      </c>
      <c r="U23" s="4">
        <f>ROUND('Components UNIV HS &amp; FGP'!R23/'Components UNIV HS &amp; FGP'!R$25,3)</f>
        <v>4.0000000000000001E-3</v>
      </c>
    </row>
    <row r="24" spans="1:21">
      <c r="A24" s="27" t="s">
        <v>112</v>
      </c>
      <c r="B24" s="28" t="s">
        <v>146</v>
      </c>
      <c r="C24" t="s">
        <v>155</v>
      </c>
      <c r="D24" t="s">
        <v>156</v>
      </c>
      <c r="E24" s="4">
        <f>ROUND('Components UNIV HS &amp; FGP'!B24/'Components UNIV HS &amp; FGP'!$B$25,3)</f>
        <v>1.0999999999999999E-2</v>
      </c>
      <c r="F24" s="4">
        <f>ROUND('Components UNIV HS &amp; FGP'!C24/'Components UNIV HS &amp; FGP'!$C$25,3)</f>
        <v>1.4E-2</v>
      </c>
      <c r="G24" s="4">
        <f>ROUND('Components UNIV HS &amp; FGP'!D24/'Components UNIV HS &amp; FGP'!$D$25,3)</f>
        <v>0</v>
      </c>
      <c r="H24" s="4">
        <f>ROUND('Components UNIV HS &amp; FGP'!E24/'Components UNIV HS &amp; FGP'!$E$25,3)</f>
        <v>0</v>
      </c>
      <c r="I24" s="4">
        <f>ROUND('Components UNIV HS &amp; FGP'!F24/'Components UNIV HS &amp; FGP'!$F$25,3)</f>
        <v>0</v>
      </c>
      <c r="K24" s="4">
        <f>ROUND('Components UNIV HS &amp; FGP'!H24/'Components UNIV HS &amp; FGP'!H$25,3)</f>
        <v>1.4E-2</v>
      </c>
      <c r="L24" s="4">
        <f>ROUND('Components UNIV HS &amp; FGP'!I24/'Components UNIV HS &amp; FGP'!I$25,3)</f>
        <v>1.0999999999999999E-2</v>
      </c>
      <c r="M24" s="4">
        <f>ROUND('Components UNIV HS &amp; FGP'!J24/'Components UNIV HS &amp; FGP'!J$25,3)</f>
        <v>0</v>
      </c>
      <c r="N24" s="4">
        <f>ROUND('Components UNIV HS &amp; FGP'!K24/'Components UNIV HS &amp; FGP'!K$25,3)</f>
        <v>0</v>
      </c>
      <c r="O24" s="4">
        <f>ROUND('Components UNIV HS &amp; FGP'!L24/'Components UNIV HS &amp; FGP'!L$25,3)</f>
        <v>0</v>
      </c>
      <c r="Q24" s="20" t="s">
        <v>112</v>
      </c>
      <c r="R24" s="4">
        <f>ROUND('Components UNIV HS &amp; FGP'!O24/'Components UNIV HS &amp; FGP'!O$25,3)</f>
        <v>7.0000000000000001E-3</v>
      </c>
      <c r="S24" s="4">
        <f>ROUND('Components UNIV HS &amp; FGP'!P24/'Components UNIV HS &amp; FGP'!P$25,3)</f>
        <v>5.0000000000000001E-3</v>
      </c>
      <c r="T24" s="4">
        <f>ROUND('Components UNIV HS &amp; FGP'!Q24/'Components UNIV HS &amp; FGP'!Q$25,3)</f>
        <v>5.0000000000000001E-3</v>
      </c>
      <c r="U24" s="4">
        <f>ROUND('Components UNIV HS &amp; FGP'!R24/'Components UNIV HS &amp; FGP'!R$25,3)</f>
        <v>4.0000000000000001E-3</v>
      </c>
    </row>
    <row r="25" spans="1:21">
      <c r="A25" s="35" t="s">
        <v>144</v>
      </c>
      <c r="B25" s="34"/>
      <c r="C25" s="34"/>
      <c r="D25" s="34"/>
      <c r="E25" s="36">
        <f>SUM(E5:E11,E14:E24)</f>
        <v>1.0000000000000002</v>
      </c>
      <c r="F25" s="36">
        <f>SUM(F5:F11,F14:F24)</f>
        <v>1</v>
      </c>
      <c r="G25" s="36">
        <f>SUM(G5:G11,G14:G24)</f>
        <v>1</v>
      </c>
      <c r="H25" s="36">
        <f>SUM(H5:H11,H14:H24)</f>
        <v>0.9996666666666667</v>
      </c>
      <c r="I25" s="36">
        <f>SUM(I5:I11,I14:I24)</f>
        <v>1</v>
      </c>
      <c r="K25" s="36">
        <f>SUM(K5:K11,K14:K24)</f>
        <v>1</v>
      </c>
      <c r="L25" s="36">
        <f t="shared" ref="L25:O25" si="3">SUM(L5:L11,L14:L24)</f>
        <v>1.0004000000000002</v>
      </c>
      <c r="M25" s="36">
        <f t="shared" si="3"/>
        <v>1.0004</v>
      </c>
      <c r="N25" s="36">
        <f t="shared" si="3"/>
        <v>1</v>
      </c>
      <c r="O25" s="36">
        <f t="shared" si="3"/>
        <v>1</v>
      </c>
      <c r="R25" s="36">
        <f t="shared" ref="R25:U25" si="4">SUM(R5:R11,R14:R24)</f>
        <v>1</v>
      </c>
      <c r="S25" s="36">
        <f t="shared" si="4"/>
        <v>1</v>
      </c>
      <c r="T25" s="36">
        <f t="shared" si="4"/>
        <v>1</v>
      </c>
      <c r="U25" s="36">
        <f t="shared" si="4"/>
        <v>0.99950000000000006</v>
      </c>
    </row>
    <row r="26" spans="1:21">
      <c r="A26" s="22"/>
      <c r="B26" s="22"/>
      <c r="C26" s="22"/>
      <c r="D26" s="22"/>
      <c r="E26" s="4"/>
      <c r="F26" s="4"/>
      <c r="G26" s="4"/>
      <c r="H26" s="4"/>
      <c r="I26" s="4"/>
      <c r="K26" s="4"/>
      <c r="L26" s="4"/>
      <c r="M26" s="4"/>
      <c r="N26" s="4"/>
      <c r="O26" s="4"/>
      <c r="R26" s="4"/>
      <c r="S26" s="4"/>
      <c r="T26" s="4"/>
      <c r="U26" s="4"/>
    </row>
    <row r="27" spans="1:21">
      <c r="A27" s="35" t="s">
        <v>145</v>
      </c>
      <c r="B27" s="34"/>
      <c r="C27" s="34"/>
      <c r="D27" s="34"/>
      <c r="E27" s="4">
        <v>1</v>
      </c>
      <c r="F27" s="4">
        <v>1</v>
      </c>
      <c r="G27" s="4">
        <v>1</v>
      </c>
      <c r="H27" s="4">
        <v>1</v>
      </c>
      <c r="I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R27" s="4">
        <v>1</v>
      </c>
      <c r="S27" s="4">
        <v>1</v>
      </c>
      <c r="T27" s="4">
        <v>1</v>
      </c>
      <c r="U27" s="4">
        <v>1</v>
      </c>
    </row>
    <row r="29" spans="1:21">
      <c r="E29" s="26">
        <f>E27-E25</f>
        <v>0</v>
      </c>
      <c r="F29" s="26">
        <f t="shared" ref="F29:O29" si="5">F27-F25</f>
        <v>0</v>
      </c>
      <c r="G29" s="26">
        <f t="shared" si="5"/>
        <v>0</v>
      </c>
      <c r="H29" s="26">
        <f t="shared" si="5"/>
        <v>3.3333333333329662E-4</v>
      </c>
      <c r="I29" s="26">
        <f t="shared" si="5"/>
        <v>0</v>
      </c>
      <c r="J29" s="26"/>
      <c r="K29" s="26">
        <f t="shared" si="5"/>
        <v>0</v>
      </c>
      <c r="L29" s="26">
        <f t="shared" si="5"/>
        <v>-4.0000000000017799E-4</v>
      </c>
      <c r="M29" s="26">
        <f t="shared" si="5"/>
        <v>-3.9999999999995595E-4</v>
      </c>
      <c r="N29" s="26">
        <f t="shared" si="5"/>
        <v>0</v>
      </c>
      <c r="O29" s="26">
        <f t="shared" si="5"/>
        <v>0</v>
      </c>
      <c r="R29" s="26">
        <f t="shared" ref="R29:U29" si="6">R27-R25</f>
        <v>0</v>
      </c>
      <c r="S29" s="26">
        <f t="shared" si="6"/>
        <v>0</v>
      </c>
      <c r="T29" s="26">
        <f t="shared" si="6"/>
        <v>0</v>
      </c>
      <c r="U29" s="26">
        <f t="shared" si="6"/>
        <v>4.9999999999994493E-4</v>
      </c>
    </row>
    <row r="32" spans="1:21">
      <c r="H32" s="2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1743-0BE9-46A4-A7FB-3DF9D4601020}">
  <dimension ref="A2:K29"/>
  <sheetViews>
    <sheetView workbookViewId="0">
      <selection activeCell="E22" sqref="E22"/>
    </sheetView>
  </sheetViews>
  <sheetFormatPr defaultRowHeight="12.75"/>
  <cols>
    <col min="1" max="1" width="23.140625" bestFit="1" customWidth="1"/>
    <col min="2" max="5" width="10.7109375" customWidth="1"/>
    <col min="6" max="6" width="3.5703125" customWidth="1"/>
    <col min="7" max="11" width="10.7109375" customWidth="1"/>
  </cols>
  <sheetData>
    <row r="2" spans="1:11">
      <c r="B2" s="25" t="s">
        <v>90</v>
      </c>
      <c r="C2" s="24"/>
      <c r="D2" s="24"/>
      <c r="E2" s="24"/>
      <c r="G2" s="25"/>
      <c r="H2" s="24"/>
      <c r="I2" s="24"/>
      <c r="J2" s="24"/>
      <c r="K2" s="24"/>
    </row>
    <row r="3" spans="1:11">
      <c r="B3" s="2" t="s">
        <v>7</v>
      </c>
      <c r="C3" s="2" t="s">
        <v>115</v>
      </c>
      <c r="D3" s="2" t="s">
        <v>9</v>
      </c>
      <c r="E3" s="2" t="s">
        <v>119</v>
      </c>
      <c r="G3" s="2" t="s">
        <v>90</v>
      </c>
      <c r="H3" s="2"/>
      <c r="I3" s="2"/>
      <c r="J3" s="2"/>
      <c r="K3" s="2"/>
    </row>
    <row r="4" spans="1:11">
      <c r="B4" s="2" t="s">
        <v>15</v>
      </c>
      <c r="C4" s="2" t="s">
        <v>88</v>
      </c>
      <c r="D4" s="2" t="s">
        <v>20</v>
      </c>
      <c r="E4" s="2" t="s">
        <v>22</v>
      </c>
      <c r="G4" s="2" t="s">
        <v>91</v>
      </c>
      <c r="H4" s="2"/>
      <c r="I4" s="2"/>
      <c r="J4" s="2"/>
      <c r="K4" s="2"/>
    </row>
    <row r="5" spans="1:11">
      <c r="A5" s="19" t="s">
        <v>38</v>
      </c>
      <c r="B5" s="4">
        <f>ROUND((fy26_summary_bnft_projection!D56/fy26_summary_bnft_projection!$D$75),3)</f>
        <v>0.13800000000000001</v>
      </c>
      <c r="C5" s="4">
        <v>0</v>
      </c>
      <c r="D5" s="4">
        <f>ROUND((fy26_summary_bnft_projection!G56/fy26_summary_bnft_projection!$G$75),3)</f>
        <v>0.13800000000000001</v>
      </c>
      <c r="E5" s="4">
        <f>ROUND((fy26_summary_bnft_projection!I56/fy26_summary_bnft_projection!$I$75),3)</f>
        <v>0</v>
      </c>
      <c r="G5" s="4">
        <f>D5</f>
        <v>0.13800000000000001</v>
      </c>
      <c r="H5" s="4" t="s">
        <v>121</v>
      </c>
      <c r="I5" s="4"/>
      <c r="J5" s="4"/>
      <c r="K5" s="4"/>
    </row>
    <row r="6" spans="1:11">
      <c r="A6" s="20" t="s">
        <v>40</v>
      </c>
      <c r="B6" s="4">
        <v>0</v>
      </c>
      <c r="C6" s="4">
        <f>ROUND((fy26_summary_bnft_projection!E57/fy26_summary_bnft_projection!$E$75),3)</f>
        <v>0.13800000000000001</v>
      </c>
      <c r="D6" s="4">
        <v>0</v>
      </c>
      <c r="E6" s="4">
        <v>0</v>
      </c>
      <c r="G6" s="4">
        <f t="shared" ref="G6:G22" si="0">D6</f>
        <v>0</v>
      </c>
      <c r="H6" s="4"/>
      <c r="I6" s="4"/>
      <c r="J6" s="4"/>
      <c r="K6" s="4"/>
    </row>
    <row r="7" spans="1:11">
      <c r="A7" s="20" t="s">
        <v>96</v>
      </c>
      <c r="B7" s="4">
        <f>ROUND((fy26_summary_bnft_projection!D58/fy26_summary_bnft_projection!$D$75),3)</f>
        <v>1.4999999999999999E-2</v>
      </c>
      <c r="C7" s="4">
        <f>ROUND((fy26_summary_bnft_projection!E58/fy26_summary_bnft_projection!$E$75),3)</f>
        <v>1.4999999999999999E-2</v>
      </c>
      <c r="D7" s="4">
        <f>ROUND((fy26_summary_bnft_projection!G58/fy26_summary_bnft_projection!$G$75),3)</f>
        <v>1.4999999999999999E-2</v>
      </c>
      <c r="E7" s="4">
        <v>0</v>
      </c>
      <c r="G7" s="4">
        <f t="shared" si="0"/>
        <v>1.4999999999999999E-2</v>
      </c>
      <c r="H7" s="4"/>
      <c r="I7" s="4"/>
      <c r="J7" s="4"/>
      <c r="K7" s="4"/>
    </row>
    <row r="8" spans="1:11">
      <c r="A8" s="31" t="s">
        <v>97</v>
      </c>
      <c r="B8" s="29">
        <f>ROUND(0.863*$B$13,3)-0.0005</f>
        <v>9.5500000000000002E-2</v>
      </c>
      <c r="C8" s="29">
        <f>ROUND(0.887*$C$13,3)+0.0004</f>
        <v>0.15940000000000001</v>
      </c>
      <c r="D8" s="29">
        <v>0</v>
      </c>
      <c r="E8" s="29">
        <v>0</v>
      </c>
      <c r="F8" s="30"/>
      <c r="G8" s="29">
        <f t="shared" si="0"/>
        <v>0</v>
      </c>
      <c r="H8" s="4"/>
      <c r="I8" s="4"/>
      <c r="J8" s="4"/>
      <c r="K8" s="4"/>
    </row>
    <row r="9" spans="1:11">
      <c r="A9" s="31" t="s">
        <v>98</v>
      </c>
      <c r="B9" s="29">
        <f>ROUND(0.118*$B$13,3)</f>
        <v>1.2999999999999999E-2</v>
      </c>
      <c r="C9" s="29">
        <f>ROUND(0.092*$C$13,3)</f>
        <v>1.6E-2</v>
      </c>
      <c r="D9" s="29">
        <v>0</v>
      </c>
      <c r="E9" s="29">
        <v>0</v>
      </c>
      <c r="F9" s="30"/>
      <c r="G9" s="29">
        <f t="shared" si="0"/>
        <v>0</v>
      </c>
      <c r="H9" s="4"/>
      <c r="I9" s="4"/>
      <c r="J9" s="4"/>
      <c r="K9" s="4"/>
    </row>
    <row r="10" spans="1:11">
      <c r="A10" s="31" t="s">
        <v>99</v>
      </c>
      <c r="B10" s="29">
        <f>ROUND(0.01*$B$13,3)</f>
        <v>1E-3</v>
      </c>
      <c r="C10" s="29">
        <f>ROUND(0.009*$C$13,3)</f>
        <v>2E-3</v>
      </c>
      <c r="D10" s="29">
        <v>0</v>
      </c>
      <c r="E10" s="29">
        <v>0</v>
      </c>
      <c r="F10" s="30"/>
      <c r="G10" s="29">
        <f t="shared" si="0"/>
        <v>0</v>
      </c>
      <c r="H10" s="4"/>
      <c r="I10" s="4"/>
      <c r="J10" s="4"/>
      <c r="K10" s="4"/>
    </row>
    <row r="11" spans="1:11">
      <c r="A11" s="31" t="s">
        <v>100</v>
      </c>
      <c r="B11" s="29">
        <f>ROUND(0.009*$B$13,3)</f>
        <v>1E-3</v>
      </c>
      <c r="C11" s="29">
        <f>ROUND(0.012*$C$13,3)</f>
        <v>2E-3</v>
      </c>
      <c r="D11" s="29">
        <v>0</v>
      </c>
      <c r="E11" s="29">
        <v>0</v>
      </c>
      <c r="F11" s="30"/>
      <c r="G11" s="29">
        <f t="shared" si="0"/>
        <v>0</v>
      </c>
      <c r="H11" s="4"/>
      <c r="I11" s="4"/>
      <c r="J11" s="4"/>
      <c r="K11" s="4"/>
    </row>
    <row r="12" spans="1:11">
      <c r="A12" s="31" t="s">
        <v>101</v>
      </c>
      <c r="B12" s="29">
        <f>SUM(B8:B11)</f>
        <v>0.1105</v>
      </c>
      <c r="C12" s="29">
        <f t="shared" ref="C12:E12" si="1">SUM(C8:C11)</f>
        <v>0.1794</v>
      </c>
      <c r="D12" s="29">
        <f t="shared" si="1"/>
        <v>0</v>
      </c>
      <c r="E12" s="29">
        <f t="shared" si="1"/>
        <v>0</v>
      </c>
      <c r="F12" s="30"/>
      <c r="G12" s="29">
        <f t="shared" si="0"/>
        <v>0</v>
      </c>
      <c r="H12" s="4"/>
      <c r="I12" s="4"/>
      <c r="J12" s="4"/>
      <c r="K12" s="4"/>
    </row>
    <row r="13" spans="1:11">
      <c r="A13" s="20" t="s">
        <v>102</v>
      </c>
      <c r="B13" s="4">
        <f>ROUND(((fy26_summary_bnft_projection!D66+fy26_summary_bnft_projection!D67)/fy26_summary_bnft_projection!$D$75),3)+0.003</f>
        <v>0.111</v>
      </c>
      <c r="C13" s="4">
        <f>ROUND(((fy26_summary_bnft_projection!E66+fy26_summary_bnft_projection!E67)/fy26_summary_bnft_projection!$E$75),3)+0.0007</f>
        <v>0.1787</v>
      </c>
      <c r="D13" s="4">
        <f>ROUND(((fy26_summary_bnft_projection!G66+fy26_summary_bnft_projection!G67)/fy26_summary_bnft_projection!$G$75),3)</f>
        <v>0</v>
      </c>
      <c r="E13" s="4">
        <v>0</v>
      </c>
      <c r="G13" s="4">
        <f t="shared" si="0"/>
        <v>0</v>
      </c>
      <c r="H13" s="4"/>
      <c r="I13" s="4"/>
      <c r="J13" s="4"/>
      <c r="K13" s="4"/>
    </row>
    <row r="14" spans="1:11">
      <c r="A14" s="20" t="s">
        <v>103</v>
      </c>
      <c r="B14" s="4">
        <f>ROUND((fy26_summary_bnft_projection!D64/fy26_summary_bnft_projection!$D$75),3)</f>
        <v>2E-3</v>
      </c>
      <c r="C14" s="4">
        <f>ROUND((fy26_summary_bnft_projection!E64/fy26_summary_bnft_projection!$E$75),3)</f>
        <v>2E-3</v>
      </c>
      <c r="D14" s="4">
        <f>ROUND((fy26_summary_bnft_projection!G64/fy26_summary_bnft_projection!$G$75),3)+0.001</f>
        <v>3.0000000000000001E-3</v>
      </c>
      <c r="E14" s="4">
        <f>ROUND((fy26_summary_bnft_projection!I64/fy26_summary_bnft_projection!$I$75),3)</f>
        <v>3.0000000000000001E-3</v>
      </c>
      <c r="G14" s="4">
        <f t="shared" si="0"/>
        <v>3.0000000000000001E-3</v>
      </c>
      <c r="H14" s="4"/>
      <c r="I14" s="4"/>
      <c r="J14" s="4"/>
      <c r="K14" s="4"/>
    </row>
    <row r="15" spans="1:11">
      <c r="A15" s="20" t="s">
        <v>104</v>
      </c>
      <c r="B15" s="4">
        <f>ROUND((fy26_summary_bnft_projection!D59/fy26_summary_bnft_projection!$D$75),3)</f>
        <v>3.0000000000000001E-3</v>
      </c>
      <c r="C15" s="4">
        <f>ROUND((fy26_summary_bnft_projection!E59/fy26_summary_bnft_projection!$E$75),3)</f>
        <v>3.0000000000000001E-3</v>
      </c>
      <c r="D15" s="4">
        <f>ROUND((fy26_summary_bnft_projection!G59/fy26_summary_bnft_projection!$G$75),3)</f>
        <v>0</v>
      </c>
      <c r="E15" s="4">
        <f>ROUND((fy26_summary_bnft_projection!I59/fy26_summary_bnft_projection!$I$75),3)</f>
        <v>0</v>
      </c>
      <c r="G15" s="4">
        <f t="shared" si="0"/>
        <v>0</v>
      </c>
      <c r="H15" s="4"/>
      <c r="I15" s="4"/>
      <c r="J15" s="4"/>
      <c r="K15" s="4"/>
    </row>
    <row r="16" spans="1:11">
      <c r="A16" s="20" t="s">
        <v>105</v>
      </c>
      <c r="B16" s="4">
        <f>ROUND((fy26_summary_bnft_projection!D60/fy26_summary_bnft_projection!$D$75),3)</f>
        <v>2E-3</v>
      </c>
      <c r="C16" s="4">
        <f>ROUND((fy26_summary_bnft_projection!E60/fy26_summary_bnft_projection!$E$75),3)</f>
        <v>2E-3</v>
      </c>
      <c r="D16" s="4">
        <f>ROUND((fy26_summary_bnft_projection!G60/fy26_summary_bnft_projection!$G$75),3)</f>
        <v>0</v>
      </c>
      <c r="E16" s="4">
        <f>ROUND((fy26_summary_bnft_projection!I60/fy26_summary_bnft_projection!$I$75),3)</f>
        <v>0</v>
      </c>
      <c r="G16" s="4">
        <f t="shared" si="0"/>
        <v>0</v>
      </c>
      <c r="H16" s="4"/>
      <c r="I16" s="4"/>
      <c r="J16" s="4"/>
      <c r="K16" s="4"/>
    </row>
    <row r="17" spans="1:11">
      <c r="A17" s="20" t="s">
        <v>106</v>
      </c>
      <c r="B17" s="4">
        <f>ROUND((fy26_summary_bnft_projection!D61/fy26_summary_bnft_projection!$D$75),3)+0.0005</f>
        <v>5.0000000000000001E-4</v>
      </c>
      <c r="C17" s="4">
        <f>ROUND((fy26_summary_bnft_projection!E61/fy26_summary_bnft_projection!$E$75),3)+0.0005</f>
        <v>5.0000000000000001E-4</v>
      </c>
      <c r="D17" s="4">
        <f>ROUND((fy26_summary_bnft_projection!G61/fy26_summary_bnft_projection!$G$75),3)+0.001</f>
        <v>1E-3</v>
      </c>
      <c r="E17" s="4">
        <f>ROUND((fy26_summary_bnft_projection!I61/fy26_summary_bnft_projection!$I$75),3)</f>
        <v>0</v>
      </c>
      <c r="G17" s="4">
        <f t="shared" si="0"/>
        <v>1E-3</v>
      </c>
      <c r="H17" s="4"/>
      <c r="I17" s="4"/>
      <c r="J17" s="4"/>
      <c r="K17" s="4"/>
    </row>
    <row r="18" spans="1:11">
      <c r="A18" s="20" t="s">
        <v>107</v>
      </c>
      <c r="B18" s="4">
        <f>ROUND((fy26_summary_bnft_projection!D62/fy26_summary_bnft_projection!$D$75),3)</f>
        <v>1E-3</v>
      </c>
      <c r="C18" s="4">
        <f>ROUND((fy26_summary_bnft_projection!E62/fy26_summary_bnft_projection!$E$75),3)</f>
        <v>1E-3</v>
      </c>
      <c r="D18" s="4">
        <f>ROUND((fy26_summary_bnft_projection!G62/fy26_summary_bnft_projection!$G$75),3)</f>
        <v>1E-3</v>
      </c>
      <c r="E18" s="4">
        <f>ROUND((fy26_summary_bnft_projection!I62/fy26_summary_bnft_projection!$I$75),3)</f>
        <v>1E-3</v>
      </c>
      <c r="G18" s="4">
        <f t="shared" si="0"/>
        <v>1E-3</v>
      </c>
      <c r="H18" s="4"/>
      <c r="I18" s="4"/>
      <c r="J18" s="4"/>
      <c r="K18" s="4"/>
    </row>
    <row r="19" spans="1:11">
      <c r="A19" s="20" t="s">
        <v>108</v>
      </c>
      <c r="B19" s="4">
        <f>ROUND((fy26_summary_bnft_projection!D68/fy26_summary_bnft_projection!$D$75),3)+0.0005</f>
        <v>5.0000000000000001E-4</v>
      </c>
      <c r="C19" s="4">
        <f>ROUND((fy26_summary_bnft_projection!E68/fy26_summary_bnft_projection!$E$75),3)</f>
        <v>0</v>
      </c>
      <c r="D19" s="4">
        <v>0</v>
      </c>
      <c r="E19" s="4">
        <f>ROUND((fy26_summary_bnft_projection!I68/fy26_summary_bnft_projection!$I$75),3)</f>
        <v>0</v>
      </c>
      <c r="G19" s="4">
        <f t="shared" si="0"/>
        <v>0</v>
      </c>
      <c r="H19" s="4"/>
      <c r="I19" s="4"/>
      <c r="J19" s="4"/>
      <c r="K19" s="4"/>
    </row>
    <row r="20" spans="1:11">
      <c r="A20" s="20" t="s">
        <v>109</v>
      </c>
      <c r="B20" s="4">
        <f>ROUND((fy26_summary_bnft_projection!D69/fy26_summary_bnft_projection!$D$75),3)</f>
        <v>4.0000000000000001E-3</v>
      </c>
      <c r="C20" s="4">
        <f>ROUND((fy26_summary_bnft_projection!E69/fy26_summary_bnft_projection!$E$75),3)</f>
        <v>6.0000000000000001E-3</v>
      </c>
      <c r="D20" s="4">
        <v>0</v>
      </c>
      <c r="E20" s="4">
        <f>ROUND((fy26_summary_bnft_projection!I69/fy26_summary_bnft_projection!$I$75),3)</f>
        <v>0</v>
      </c>
      <c r="G20" s="4">
        <f t="shared" si="0"/>
        <v>0</v>
      </c>
      <c r="H20" s="4"/>
      <c r="I20" s="4"/>
      <c r="J20" s="4"/>
      <c r="K20" s="4"/>
    </row>
    <row r="21" spans="1:11">
      <c r="A21" s="20" t="s">
        <v>110</v>
      </c>
      <c r="B21" s="4">
        <v>0</v>
      </c>
      <c r="C21" s="4">
        <v>0</v>
      </c>
      <c r="D21" s="4">
        <v>0</v>
      </c>
      <c r="E21" s="4">
        <f>ROUND((fy26_summary_bnft_projection!I65/fy26_summary_bnft_projection!$I$75),3)+0.025</f>
        <v>0.14200000000000002</v>
      </c>
      <c r="G21" s="4">
        <f t="shared" si="0"/>
        <v>0</v>
      </c>
      <c r="H21" s="4"/>
      <c r="I21" s="4"/>
      <c r="J21" s="4"/>
      <c r="K21" s="4"/>
    </row>
    <row r="22" spans="1:11">
      <c r="A22" s="20" t="s">
        <v>111</v>
      </c>
      <c r="B22" s="4">
        <f>ROUND((fy26_summary_bnft_projection!D70/fy26_summary_bnft_projection!$D$75),3)</f>
        <v>6.0000000000000001E-3</v>
      </c>
      <c r="C22" s="4">
        <f>ROUND((fy26_summary_bnft_projection!E70/fy26_summary_bnft_projection!$E$75),3)</f>
        <v>0.01</v>
      </c>
      <c r="D22" s="4">
        <f>ROUND((fy26_summary_bnft_projection!G70/fy26_summary_bnft_projection!$G$75),3)</f>
        <v>0</v>
      </c>
      <c r="E22" s="4">
        <f>ROUND((fy26_summary_bnft_projection!I70/fy26_summary_bnft_projection!$I$75),3)</f>
        <v>0</v>
      </c>
      <c r="G22" s="4">
        <f t="shared" si="0"/>
        <v>0</v>
      </c>
      <c r="H22" s="4"/>
      <c r="I22" s="4"/>
      <c r="J22" s="4"/>
      <c r="K22" s="4"/>
    </row>
    <row r="23" spans="1:11">
      <c r="A23" s="21" t="s">
        <v>113</v>
      </c>
      <c r="B23" s="4">
        <f>'Rate Summary'!B16</f>
        <v>0.28299999999999997</v>
      </c>
      <c r="C23" s="4">
        <f>'Rate Summary'!B17</f>
        <v>0.36199999999999999</v>
      </c>
      <c r="D23" s="4">
        <f>'Rate Summary'!B18</f>
        <v>0.158</v>
      </c>
      <c r="E23" s="4">
        <f>'Rate Summary'!B19</f>
        <v>0.14599999999999999</v>
      </c>
      <c r="G23" s="4">
        <f>D23</f>
        <v>0.158</v>
      </c>
      <c r="H23" s="4"/>
      <c r="I23" s="4"/>
      <c r="J23" s="4"/>
      <c r="K23" s="4"/>
    </row>
    <row r="24" spans="1:11">
      <c r="A24" s="22"/>
      <c r="B24" s="4"/>
      <c r="C24" s="4"/>
      <c r="D24" s="4"/>
      <c r="E24" s="4"/>
      <c r="G24" s="4"/>
      <c r="H24" s="4"/>
      <c r="I24" s="4"/>
      <c r="J24" s="4"/>
      <c r="K24" s="4"/>
    </row>
    <row r="25" spans="1:11">
      <c r="A25" s="22" t="s">
        <v>120</v>
      </c>
      <c r="B25" s="4">
        <v>0</v>
      </c>
      <c r="C25" s="4">
        <v>5.0000000000000001E-3</v>
      </c>
      <c r="D25" s="4">
        <v>0</v>
      </c>
      <c r="E25" s="4">
        <v>0</v>
      </c>
      <c r="G25" s="4">
        <v>0</v>
      </c>
      <c r="H25" s="4"/>
      <c r="I25" s="4"/>
      <c r="J25" s="4"/>
      <c r="K25" s="4"/>
    </row>
    <row r="26" spans="1:11">
      <c r="A26" s="22"/>
      <c r="B26" s="4"/>
      <c r="C26" s="4"/>
      <c r="D26" s="4"/>
      <c r="E26" s="4"/>
      <c r="G26" s="4"/>
      <c r="H26" s="4"/>
      <c r="I26" s="4"/>
      <c r="J26" s="4"/>
      <c r="K26" s="4"/>
    </row>
    <row r="27" spans="1:11">
      <c r="A27" s="23" t="s">
        <v>114</v>
      </c>
      <c r="B27" s="4">
        <f>SUM(B5:B11,B14:B22,B25)</f>
        <v>0.28250000000000003</v>
      </c>
      <c r="C27" s="4">
        <f t="shared" ref="C27:G27" si="2">SUM(C5:C11,C14:C22,C25)</f>
        <v>0.36190000000000005</v>
      </c>
      <c r="D27" s="4">
        <f t="shared" si="2"/>
        <v>0.15800000000000003</v>
      </c>
      <c r="E27" s="4">
        <f t="shared" si="2"/>
        <v>0.14600000000000002</v>
      </c>
      <c r="F27" s="4"/>
      <c r="G27" s="4">
        <f t="shared" si="2"/>
        <v>0.15800000000000003</v>
      </c>
      <c r="H27" s="4"/>
      <c r="I27" s="4"/>
      <c r="J27" s="4"/>
      <c r="K27" s="4"/>
    </row>
    <row r="29" spans="1:11">
      <c r="B29" s="26">
        <f>B23-B27</f>
        <v>4.9999999999994493E-4</v>
      </c>
      <c r="C29" s="26">
        <f t="shared" ref="C29:E29" si="3">C23-C27</f>
        <v>9.9999999999933475E-5</v>
      </c>
      <c r="D29" s="26">
        <f t="shared" si="3"/>
        <v>0</v>
      </c>
      <c r="E29" s="26">
        <f t="shared" si="3"/>
        <v>0</v>
      </c>
      <c r="G29" s="26">
        <f t="shared" ref="G29" si="4">G23-G27</f>
        <v>0</v>
      </c>
      <c r="H29" s="26"/>
      <c r="I29" s="26"/>
      <c r="J29" s="26"/>
      <c r="K29" s="2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1BDF-DBFB-4E44-BA9C-6AC504DA65CD}">
  <dimension ref="A3:K32"/>
  <sheetViews>
    <sheetView workbookViewId="0">
      <selection activeCell="E32" sqref="E32"/>
    </sheetView>
  </sheetViews>
  <sheetFormatPr defaultRowHeight="12.75"/>
  <cols>
    <col min="1" max="1" width="41.140625" style="27" bestFit="1" customWidth="1"/>
    <col min="2" max="2" width="11.140625" style="27" customWidth="1"/>
    <col min="3" max="3" width="26.7109375" style="27" bestFit="1" customWidth="1"/>
    <col min="4" max="4" width="41.140625" style="27" customWidth="1"/>
    <col min="5" max="8" width="10.7109375" customWidth="1"/>
    <col min="9" max="9" width="4.5703125" customWidth="1"/>
  </cols>
  <sheetData>
    <row r="3" spans="1:11">
      <c r="E3" s="25" t="s">
        <v>90</v>
      </c>
      <c r="F3" s="24"/>
      <c r="G3" s="24"/>
      <c r="H3" s="24"/>
    </row>
    <row r="4" spans="1:11">
      <c r="E4" s="2" t="s">
        <v>7</v>
      </c>
      <c r="F4" s="2" t="s">
        <v>115</v>
      </c>
      <c r="G4" s="2" t="s">
        <v>9</v>
      </c>
      <c r="H4" s="2" t="s">
        <v>119</v>
      </c>
    </row>
    <row r="5" spans="1:11">
      <c r="A5" s="37" t="s">
        <v>151</v>
      </c>
      <c r="B5" s="37" t="s">
        <v>154</v>
      </c>
      <c r="C5" s="37" t="s">
        <v>152</v>
      </c>
      <c r="D5" s="37" t="s">
        <v>153</v>
      </c>
      <c r="E5" s="2" t="s">
        <v>15</v>
      </c>
      <c r="F5" s="2" t="s">
        <v>88</v>
      </c>
      <c r="G5" s="2" t="s">
        <v>20</v>
      </c>
      <c r="H5" s="2" t="s">
        <v>22</v>
      </c>
      <c r="J5" t="s">
        <v>91</v>
      </c>
    </row>
    <row r="6" spans="1:11">
      <c r="A6" s="27" t="s">
        <v>38</v>
      </c>
      <c r="B6" s="27" t="s">
        <v>127</v>
      </c>
      <c r="C6" t="s">
        <v>155</v>
      </c>
      <c r="D6" t="s">
        <v>156</v>
      </c>
      <c r="E6" s="4">
        <f>ROUND('Components OSP'!B5/'Components OSP'!$B$23,3)</f>
        <v>0.48799999999999999</v>
      </c>
      <c r="F6" s="4">
        <f>ROUND('Components OSP'!C5/'Components OSP'!$C$23,3)</f>
        <v>0</v>
      </c>
      <c r="G6" s="4">
        <f>ROUND('Components OSP'!D5/'Components OSP'!$D$23,3)</f>
        <v>0.873</v>
      </c>
      <c r="H6" s="4">
        <f>ROUND('Components OSP'!E5/'Components OSP'!$E$23,3)</f>
        <v>0</v>
      </c>
      <c r="J6" s="4">
        <f>G6</f>
        <v>0.873</v>
      </c>
      <c r="K6" t="s">
        <v>143</v>
      </c>
    </row>
    <row r="7" spans="1:11">
      <c r="A7" s="27" t="s">
        <v>40</v>
      </c>
      <c r="B7" s="27" t="s">
        <v>128</v>
      </c>
      <c r="C7" t="s">
        <v>155</v>
      </c>
      <c r="D7" t="s">
        <v>156</v>
      </c>
      <c r="E7" s="4">
        <f>ROUND('Components OSP'!B6/'Components OSP'!$B$23,3)</f>
        <v>0</v>
      </c>
      <c r="F7" s="4">
        <f>ROUND('Components OSP'!C6/'Components OSP'!$C$23,3)</f>
        <v>0.38100000000000001</v>
      </c>
      <c r="G7" s="4">
        <f>ROUND('Components OSP'!D6/'Components OSP'!$D$23,3)</f>
        <v>0</v>
      </c>
      <c r="H7" s="4">
        <f>ROUND('Components OSP'!E6/'Components OSP'!$E$23,3)</f>
        <v>0</v>
      </c>
      <c r="J7" s="4">
        <f t="shared" ref="J7:J29" si="0">G7</f>
        <v>0</v>
      </c>
    </row>
    <row r="8" spans="1:11">
      <c r="A8" s="27" t="s">
        <v>41</v>
      </c>
      <c r="B8" s="28" t="s">
        <v>129</v>
      </c>
      <c r="C8" t="s">
        <v>155</v>
      </c>
      <c r="D8" t="s">
        <v>156</v>
      </c>
      <c r="E8" s="4">
        <f>ROUND('Components OSP'!B7/'Components OSP'!$B$23,3)</f>
        <v>5.2999999999999999E-2</v>
      </c>
      <c r="F8" s="4">
        <f>ROUND('Components OSP'!C7/'Components OSP'!$C$23,3)</f>
        <v>4.1000000000000002E-2</v>
      </c>
      <c r="G8" s="4">
        <f>ROUND('Components OSP'!D7/'Components OSP'!$D$23,3)</f>
        <v>9.5000000000000001E-2</v>
      </c>
      <c r="H8" s="4">
        <f>ROUND('Components OSP'!E7/'Components OSP'!$E$23,3)</f>
        <v>0</v>
      </c>
      <c r="J8" s="4">
        <f t="shared" si="0"/>
        <v>9.5000000000000001E-2</v>
      </c>
    </row>
    <row r="9" spans="1:11">
      <c r="A9" s="32" t="s">
        <v>97</v>
      </c>
      <c r="B9" s="33" t="s">
        <v>130</v>
      </c>
      <c r="C9" s="33" t="s">
        <v>155</v>
      </c>
      <c r="D9" s="33" t="s">
        <v>156</v>
      </c>
      <c r="E9" s="29">
        <f>ROUND('Components OSP'!B8/'Components OSP'!$B$23,3)</f>
        <v>0.33700000000000002</v>
      </c>
      <c r="F9" s="29">
        <f>ROUND('Components OSP'!C8/'Components OSP'!$C$23,3)-0.001</f>
        <v>0.439</v>
      </c>
      <c r="G9" s="29">
        <f>ROUND('Components OSP'!D8/'Components OSP'!$D$23,3)</f>
        <v>0</v>
      </c>
      <c r="H9" s="29">
        <f>ROUND('Components OSP'!E8/'Components OSP'!$E$23,3)</f>
        <v>0</v>
      </c>
      <c r="I9" s="30"/>
      <c r="J9" s="29">
        <f t="shared" si="0"/>
        <v>0</v>
      </c>
    </row>
    <row r="10" spans="1:11">
      <c r="A10" s="32" t="s">
        <v>98</v>
      </c>
      <c r="B10" s="33" t="s">
        <v>133</v>
      </c>
      <c r="C10" s="33" t="s">
        <v>155</v>
      </c>
      <c r="D10" s="33" t="s">
        <v>156</v>
      </c>
      <c r="E10" s="29">
        <f>ROUND('Components OSP'!B9/'Components OSP'!$B$23,3)</f>
        <v>4.5999999999999999E-2</v>
      </c>
      <c r="F10" s="29">
        <f>ROUND('Components OSP'!C9/'Components OSP'!$C$23,3)</f>
        <v>4.3999999999999997E-2</v>
      </c>
      <c r="G10" s="29">
        <f>ROUND('Components OSP'!D9/'Components OSP'!$D$23,3)</f>
        <v>0</v>
      </c>
      <c r="H10" s="29">
        <f>ROUND('Components OSP'!E9/'Components OSP'!$E$23,3)</f>
        <v>0</v>
      </c>
      <c r="I10" s="30"/>
      <c r="J10" s="29">
        <f t="shared" si="0"/>
        <v>0</v>
      </c>
    </row>
    <row r="11" spans="1:11">
      <c r="A11" s="32" t="s">
        <v>99</v>
      </c>
      <c r="B11" s="33" t="s">
        <v>132</v>
      </c>
      <c r="C11" s="33" t="s">
        <v>155</v>
      </c>
      <c r="D11" s="33" t="s">
        <v>156</v>
      </c>
      <c r="E11" s="29">
        <f>ROUND('Components OSP'!B10/'Components OSP'!$B$23,3)</f>
        <v>4.0000000000000001E-3</v>
      </c>
      <c r="F11" s="29">
        <f>ROUND('Components OSP'!C10/'Components OSP'!$C$23,3)</f>
        <v>6.0000000000000001E-3</v>
      </c>
      <c r="G11" s="29">
        <f>ROUND('Components OSP'!D10/'Components OSP'!$D$23,3)</f>
        <v>0</v>
      </c>
      <c r="H11" s="29">
        <f>ROUND('Components OSP'!E10/'Components OSP'!$E$23,3)</f>
        <v>0</v>
      </c>
      <c r="I11" s="30"/>
      <c r="J11" s="29">
        <f t="shared" si="0"/>
        <v>0</v>
      </c>
    </row>
    <row r="12" spans="1:11">
      <c r="A12" s="32" t="s">
        <v>100</v>
      </c>
      <c r="B12" s="33" t="s">
        <v>131</v>
      </c>
      <c r="C12" s="33" t="s">
        <v>155</v>
      </c>
      <c r="D12" s="33" t="s">
        <v>156</v>
      </c>
      <c r="E12" s="29">
        <f>ROUND('Components OSP'!B11/'Components OSP'!$B$23,3)</f>
        <v>4.0000000000000001E-3</v>
      </c>
      <c r="F12" s="29">
        <f>ROUND('Components OSP'!C11/'Components OSP'!$C$23,3)</f>
        <v>6.0000000000000001E-3</v>
      </c>
      <c r="G12" s="29">
        <f>ROUND('Components OSP'!D11/'Components OSP'!$D$23,3)</f>
        <v>0</v>
      </c>
      <c r="H12" s="29">
        <f>ROUND('Components OSP'!E11/'Components OSP'!$E$23,3)</f>
        <v>0</v>
      </c>
      <c r="I12" s="30"/>
      <c r="J12" s="29">
        <f t="shared" si="0"/>
        <v>0</v>
      </c>
    </row>
    <row r="13" spans="1:11">
      <c r="A13" s="32" t="s">
        <v>101</v>
      </c>
      <c r="B13" s="33"/>
      <c r="C13" s="33" t="s">
        <v>155</v>
      </c>
      <c r="D13" s="33" t="s">
        <v>156</v>
      </c>
      <c r="E13" s="29">
        <f>SUM(E9:E12)</f>
        <v>0.39100000000000001</v>
      </c>
      <c r="F13" s="29">
        <f t="shared" ref="F13:H13" si="1">SUM(F9:F12)</f>
        <v>0.495</v>
      </c>
      <c r="G13" s="29">
        <f t="shared" si="1"/>
        <v>0</v>
      </c>
      <c r="H13" s="29">
        <f t="shared" si="1"/>
        <v>0</v>
      </c>
      <c r="I13" s="30"/>
      <c r="J13" s="29">
        <f t="shared" si="0"/>
        <v>0</v>
      </c>
    </row>
    <row r="14" spans="1:11">
      <c r="A14" s="32" t="s">
        <v>102</v>
      </c>
      <c r="B14" s="33"/>
      <c r="C14" s="33" t="s">
        <v>155</v>
      </c>
      <c r="D14" s="33" t="s">
        <v>156</v>
      </c>
      <c r="E14" s="29">
        <f>ROUND('Components OSP'!B13/'Components OSP'!$B$23,3)-0.001</f>
        <v>0.39100000000000001</v>
      </c>
      <c r="F14" s="29">
        <f>ROUND('Components OSP'!C13/'Components OSP'!$C$23,3)+0.001</f>
        <v>0.495</v>
      </c>
      <c r="G14" s="29">
        <v>0</v>
      </c>
      <c r="H14" s="29">
        <v>0</v>
      </c>
      <c r="I14" s="30"/>
      <c r="J14" s="29">
        <f t="shared" si="0"/>
        <v>0</v>
      </c>
    </row>
    <row r="15" spans="1:11">
      <c r="A15" s="27" t="s">
        <v>126</v>
      </c>
      <c r="B15" s="27" t="s">
        <v>134</v>
      </c>
      <c r="C15" t="s">
        <v>155</v>
      </c>
      <c r="D15" t="s">
        <v>156</v>
      </c>
      <c r="E15" s="4">
        <f>ROUND('Components OSP'!B14/'Components OSP'!$B$23,3)</f>
        <v>7.0000000000000001E-3</v>
      </c>
      <c r="F15" s="4">
        <f>ROUND('Components OSP'!C14/'Components OSP'!$C$23,3)</f>
        <v>6.0000000000000001E-3</v>
      </c>
      <c r="G15" s="4">
        <f>ROUND('Components OSP'!D14/'Components OSP'!$D$23,3)+0.0005</f>
        <v>1.95E-2</v>
      </c>
      <c r="H15" s="4">
        <f>ROUND('Components OSP'!E14/'Components OSP'!$E$23,3)</f>
        <v>2.1000000000000001E-2</v>
      </c>
      <c r="J15" s="4">
        <f t="shared" si="0"/>
        <v>1.95E-2</v>
      </c>
    </row>
    <row r="16" spans="1:11">
      <c r="A16" s="27" t="s">
        <v>42</v>
      </c>
      <c r="B16" s="27" t="s">
        <v>135</v>
      </c>
      <c r="C16" t="s">
        <v>155</v>
      </c>
      <c r="D16" t="s">
        <v>156</v>
      </c>
      <c r="E16" s="4">
        <f>ROUND('Components OSP'!B15/'Components OSP'!$B$23,3)</f>
        <v>1.0999999999999999E-2</v>
      </c>
      <c r="F16" s="4">
        <f>ROUND('Components OSP'!C15/'Components OSP'!$C$23,3)</f>
        <v>8.0000000000000002E-3</v>
      </c>
      <c r="G16" s="4">
        <f>ROUND('Components OSP'!D15/'Components OSP'!$D$23,3)</f>
        <v>0</v>
      </c>
      <c r="H16" s="4">
        <f>ROUND('Components OSP'!E15/'Components OSP'!$E$23,3)</f>
        <v>0</v>
      </c>
      <c r="J16" s="4">
        <f t="shared" si="0"/>
        <v>0</v>
      </c>
    </row>
    <row r="17" spans="1:10">
      <c r="A17" s="27" t="s">
        <v>43</v>
      </c>
      <c r="B17" s="27" t="s">
        <v>136</v>
      </c>
      <c r="C17" t="s">
        <v>155</v>
      </c>
      <c r="D17" t="s">
        <v>156</v>
      </c>
      <c r="E17" s="4">
        <f>ROUND('Components OSP'!B16/'Components OSP'!$B$23,3)</f>
        <v>7.0000000000000001E-3</v>
      </c>
      <c r="F17" s="4">
        <f>ROUND('Components OSP'!C16/'Components OSP'!$C$23,3)</f>
        <v>6.0000000000000001E-3</v>
      </c>
      <c r="G17" s="4">
        <f>ROUND('Components OSP'!D16/'Components OSP'!$D$23,3)</f>
        <v>0</v>
      </c>
      <c r="H17" s="4">
        <f>ROUND('Components OSP'!E16/'Components OSP'!$E$23,3)</f>
        <v>0</v>
      </c>
      <c r="J17" s="4">
        <f t="shared" si="0"/>
        <v>0</v>
      </c>
    </row>
    <row r="18" spans="1:10">
      <c r="A18" s="27" t="s">
        <v>44</v>
      </c>
      <c r="B18" s="28" t="s">
        <v>137</v>
      </c>
      <c r="C18" t="s">
        <v>155</v>
      </c>
      <c r="D18" t="s">
        <v>156</v>
      </c>
      <c r="E18" s="4">
        <f>ROUND('Components OSP'!B17/'Components OSP'!$B$23,3)</f>
        <v>2E-3</v>
      </c>
      <c r="F18" s="4">
        <f>ROUND('Components OSP'!C17/'Components OSP'!$C$23,3)</f>
        <v>1E-3</v>
      </c>
      <c r="G18" s="4">
        <f>ROUND('Components OSP'!D17/'Components OSP'!$D$23,3)</f>
        <v>6.0000000000000001E-3</v>
      </c>
      <c r="H18" s="4">
        <f>ROUND('Components OSP'!E17/'Components OSP'!$E$23,3)</f>
        <v>0</v>
      </c>
      <c r="J18" s="4">
        <f t="shared" si="0"/>
        <v>6.0000000000000001E-3</v>
      </c>
    </row>
    <row r="19" spans="1:10">
      <c r="A19" s="27" t="s">
        <v>125</v>
      </c>
      <c r="B19" s="28" t="s">
        <v>138</v>
      </c>
      <c r="C19" t="s">
        <v>155</v>
      </c>
      <c r="D19" t="s">
        <v>156</v>
      </c>
      <c r="E19" s="4">
        <f>ROUND('Components OSP'!B18/'Components OSP'!$B$23,3)</f>
        <v>4.0000000000000001E-3</v>
      </c>
      <c r="F19" s="4">
        <f>ROUND('Components OSP'!C18/'Components OSP'!$C$23,3)</f>
        <v>3.0000000000000001E-3</v>
      </c>
      <c r="G19" s="4">
        <f>ROUND('Components OSP'!D18/'Components OSP'!$D$23,3)</f>
        <v>6.0000000000000001E-3</v>
      </c>
      <c r="H19" s="4">
        <f>ROUND('Components OSP'!E18/'Components OSP'!$E$23,3)</f>
        <v>7.0000000000000001E-3</v>
      </c>
      <c r="J19" s="4">
        <f t="shared" si="0"/>
        <v>6.0000000000000001E-3</v>
      </c>
    </row>
    <row r="20" spans="1:10">
      <c r="A20" s="27" t="s">
        <v>52</v>
      </c>
      <c r="B20" s="28" t="s">
        <v>139</v>
      </c>
      <c r="C20" t="s">
        <v>155</v>
      </c>
      <c r="D20" t="s">
        <v>156</v>
      </c>
      <c r="E20" s="4">
        <f>ROUND('Components OSP'!B19/'Components OSP'!$B$23,3)</f>
        <v>2E-3</v>
      </c>
      <c r="F20" s="4">
        <f>ROUND('Components OSP'!C19/'Components OSP'!$C$23,3)</f>
        <v>0</v>
      </c>
      <c r="G20" s="4">
        <f>ROUND('Components OSP'!D19/'Components OSP'!$D$23,3)</f>
        <v>0</v>
      </c>
      <c r="H20" s="4">
        <f>ROUND('Components OSP'!E19/'Components OSP'!$E$23,3)</f>
        <v>0</v>
      </c>
      <c r="J20" s="4">
        <f t="shared" si="0"/>
        <v>0</v>
      </c>
    </row>
    <row r="21" spans="1:10">
      <c r="A21" s="27" t="s">
        <v>53</v>
      </c>
      <c r="B21" s="28" t="s">
        <v>140</v>
      </c>
      <c r="C21" t="s">
        <v>155</v>
      </c>
      <c r="D21" t="s">
        <v>156</v>
      </c>
      <c r="E21" s="4">
        <f>ROUND('Components OSP'!B20/'Components OSP'!$B$23,3)</f>
        <v>1.4E-2</v>
      </c>
      <c r="F21" s="4">
        <f>ROUND('Components OSP'!C20/'Components OSP'!$C$23,3)</f>
        <v>1.7000000000000001E-2</v>
      </c>
      <c r="G21" s="4">
        <f>ROUND('Components OSP'!D20/'Components OSP'!$D$23,3)</f>
        <v>0</v>
      </c>
      <c r="H21" s="4">
        <f>ROUND('Components OSP'!E20/'Components OSP'!$E$23,3)</f>
        <v>0</v>
      </c>
      <c r="J21" s="4">
        <f t="shared" si="0"/>
        <v>0</v>
      </c>
    </row>
    <row r="22" spans="1:10">
      <c r="A22" s="27" t="s">
        <v>48</v>
      </c>
      <c r="B22" s="28" t="s">
        <v>141</v>
      </c>
      <c r="C22" t="s">
        <v>155</v>
      </c>
      <c r="D22" t="s">
        <v>156</v>
      </c>
      <c r="E22" s="4">
        <f>ROUND('Components OSP'!B21/'Components OSP'!$B$23,3)</f>
        <v>0</v>
      </c>
      <c r="F22" s="4">
        <f>ROUND('Components OSP'!C21/'Components OSP'!$C$23,3)</f>
        <v>0</v>
      </c>
      <c r="G22" s="4">
        <f>ROUND('Components OSP'!D21/'Components OSP'!$D$23,3)</f>
        <v>0</v>
      </c>
      <c r="H22" s="4">
        <f>ROUND('Components OSP'!E21/'Components OSP'!$E$23,3)-0.0007</f>
        <v>0.97229999999999994</v>
      </c>
      <c r="J22" s="4">
        <f t="shared" si="0"/>
        <v>0</v>
      </c>
    </row>
    <row r="23" spans="1:10">
      <c r="A23" s="27" t="s">
        <v>54</v>
      </c>
      <c r="B23" s="28" t="s">
        <v>142</v>
      </c>
      <c r="C23" t="s">
        <v>155</v>
      </c>
      <c r="D23" t="s">
        <v>156</v>
      </c>
      <c r="E23" s="4">
        <f>ROUND('Components OSP'!B22/'Components OSP'!$B$23,3)</f>
        <v>2.1000000000000001E-2</v>
      </c>
      <c r="F23" s="4">
        <f>ROUND('Components OSP'!C22/'Components OSP'!$C$23,3)</f>
        <v>2.8000000000000001E-2</v>
      </c>
      <c r="G23" s="4">
        <f>ROUND('Components OSP'!D22/'Components OSP'!$D$23,3)</f>
        <v>0</v>
      </c>
      <c r="H23" s="4">
        <f>ROUND('Components OSP'!E22/'Components OSP'!$E$23,3)</f>
        <v>0</v>
      </c>
      <c r="J23" s="4">
        <f t="shared" si="0"/>
        <v>0</v>
      </c>
    </row>
    <row r="24" spans="1:10">
      <c r="B24" s="28"/>
      <c r="E24" s="4"/>
      <c r="F24" s="4"/>
      <c r="G24" s="4"/>
      <c r="H24" s="4"/>
      <c r="J24" s="4"/>
    </row>
    <row r="25" spans="1:10">
      <c r="A25" s="27" t="s">
        <v>122</v>
      </c>
      <c r="B25" s="28"/>
      <c r="E25" s="4">
        <f>SUM(E6:E12,E15:E23)</f>
        <v>1.0000000000000002</v>
      </c>
      <c r="F25" s="4">
        <f t="shared" ref="F25:H25" si="2">SUM(F6:F12,F15:F23)</f>
        <v>0.9860000000000001</v>
      </c>
      <c r="G25" s="4">
        <f t="shared" si="2"/>
        <v>0.99949999999999994</v>
      </c>
      <c r="H25" s="4">
        <f t="shared" si="2"/>
        <v>1.0003</v>
      </c>
      <c r="J25" s="4">
        <f t="shared" si="0"/>
        <v>0.99949999999999994</v>
      </c>
    </row>
    <row r="26" spans="1:10">
      <c r="E26" s="4"/>
      <c r="F26" s="4"/>
      <c r="G26" s="4"/>
      <c r="H26" s="4"/>
      <c r="J26" s="4"/>
    </row>
    <row r="27" spans="1:10">
      <c r="A27" s="27" t="s">
        <v>123</v>
      </c>
      <c r="B27" s="27" t="s">
        <v>150</v>
      </c>
      <c r="C27" t="s">
        <v>155</v>
      </c>
      <c r="D27" t="s">
        <v>157</v>
      </c>
      <c r="E27" s="4">
        <v>0</v>
      </c>
      <c r="F27" s="4">
        <f>ROUND('Components OSP'!C25/'Components OSP'!$C$23,3)</f>
        <v>1.4E-2</v>
      </c>
      <c r="G27" s="4">
        <v>0</v>
      </c>
      <c r="H27" s="4">
        <v>0</v>
      </c>
      <c r="J27" s="4">
        <f t="shared" si="0"/>
        <v>0</v>
      </c>
    </row>
    <row r="28" spans="1:10">
      <c r="E28" s="4"/>
      <c r="F28" s="4"/>
      <c r="G28" s="4"/>
      <c r="H28" s="4"/>
      <c r="J28" s="4"/>
    </row>
    <row r="29" spans="1:10">
      <c r="A29" s="27" t="s">
        <v>124</v>
      </c>
      <c r="E29" s="26">
        <f>E27+E25</f>
        <v>1.0000000000000002</v>
      </c>
      <c r="F29" s="26">
        <f t="shared" ref="F29:H29" si="3">F27+F25</f>
        <v>1</v>
      </c>
      <c r="G29" s="26">
        <f t="shared" si="3"/>
        <v>0.99949999999999994</v>
      </c>
      <c r="H29" s="26">
        <f t="shared" si="3"/>
        <v>1.0003</v>
      </c>
      <c r="J29" s="26">
        <f t="shared" si="0"/>
        <v>0.99949999999999994</v>
      </c>
    </row>
    <row r="30" spans="1:10">
      <c r="E30" s="26"/>
      <c r="F30" s="26"/>
      <c r="G30" s="26"/>
      <c r="H30" s="26"/>
    </row>
    <row r="32" spans="1:10">
      <c r="E32" s="4"/>
      <c r="F32" s="4"/>
      <c r="G32" s="4"/>
      <c r="H32" s="4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DD93-16FD-4EC5-B65D-BB5322FA0FA1}">
  <sheetPr>
    <pageSetUpPr fitToPage="1"/>
  </sheetPr>
  <dimension ref="A1:X106"/>
  <sheetViews>
    <sheetView zoomScale="90" workbookViewId="0">
      <pane xSplit="3" ySplit="12" topLeftCell="D20" activePane="bottomRight" state="frozen"/>
      <selection pane="topRight" activeCell="D1" sqref="D1"/>
      <selection pane="bottomLeft" activeCell="A10" sqref="A10"/>
      <selection pane="bottomRight" activeCell="I20" sqref="I20"/>
    </sheetView>
  </sheetViews>
  <sheetFormatPr defaultColWidth="8.85546875" defaultRowHeight="12.75"/>
  <cols>
    <col min="1" max="1" width="32.5703125" style="27" customWidth="1"/>
    <col min="2" max="2" width="13" style="27" customWidth="1"/>
    <col min="3" max="3" width="24.42578125" style="27" customWidth="1"/>
    <col min="4" max="4" width="15.7109375" style="27" customWidth="1"/>
    <col min="5" max="5" width="13.28515625" style="27" customWidth="1"/>
    <col min="6" max="7" width="15.5703125" style="27" customWidth="1"/>
    <col min="8" max="8" width="15.28515625" style="27" customWidth="1"/>
    <col min="9" max="9" width="15" style="27" customWidth="1"/>
    <col min="10" max="14" width="13.28515625" style="27" customWidth="1"/>
    <col min="15" max="15" width="16.28515625" style="27" customWidth="1"/>
    <col min="16" max="17" width="13.28515625" style="27" customWidth="1"/>
    <col min="18" max="18" width="15" style="27" customWidth="1"/>
    <col min="19" max="19" width="8.85546875" style="27"/>
    <col min="20" max="20" width="17" style="27" customWidth="1"/>
    <col min="21" max="21" width="8.85546875" style="27"/>
    <col min="22" max="22" width="18.42578125" style="27" customWidth="1"/>
    <col min="23" max="23" width="14.5703125" style="27" customWidth="1"/>
    <col min="24" max="16384" width="8.85546875" style="27"/>
  </cols>
  <sheetData>
    <row r="1" spans="1:23">
      <c r="A1" s="37" t="s">
        <v>0</v>
      </c>
    </row>
    <row r="2" spans="1:23">
      <c r="A2" s="37" t="s">
        <v>1</v>
      </c>
    </row>
    <row r="3" spans="1:23">
      <c r="A3" s="37" t="s">
        <v>2</v>
      </c>
    </row>
    <row r="4" spans="1:23">
      <c r="A4" s="37"/>
      <c r="C4" s="27" t="s">
        <v>267</v>
      </c>
      <c r="D4" s="3">
        <f t="shared" ref="D4:H4" si="0">D13/D15</f>
        <v>132978.61029240547</v>
      </c>
      <c r="E4" s="3">
        <f t="shared" si="0"/>
        <v>80187.962879024592</v>
      </c>
      <c r="F4" s="3">
        <f t="shared" si="0"/>
        <v>80812.961090512777</v>
      </c>
      <c r="G4" s="3">
        <f t="shared" si="0"/>
        <v>84478.300547801395</v>
      </c>
      <c r="H4" s="3">
        <f t="shared" si="0"/>
        <v>664225.01171506417</v>
      </c>
      <c r="I4" s="3"/>
      <c r="J4" s="3"/>
      <c r="O4" s="75" t="s">
        <v>3</v>
      </c>
    </row>
    <row r="5" spans="1:23">
      <c r="A5" s="37"/>
      <c r="C5" s="27" t="s">
        <v>268</v>
      </c>
      <c r="D5" s="3">
        <v>130539.30351542025</v>
      </c>
      <c r="E5" s="3">
        <v>75251.587333723757</v>
      </c>
      <c r="F5" s="3">
        <v>75732.066082660604</v>
      </c>
      <c r="G5" s="3">
        <v>81749.067229523629</v>
      </c>
      <c r="H5" s="3">
        <v>625744.96229697124</v>
      </c>
      <c r="I5" s="3"/>
      <c r="J5" s="3"/>
      <c r="O5" s="75" t="s">
        <v>4</v>
      </c>
      <c r="W5" s="76">
        <f>386/470</f>
        <v>0.82127659574468082</v>
      </c>
    </row>
    <row r="6" spans="1:23">
      <c r="A6" s="37"/>
      <c r="C6" s="27" t="s">
        <v>5</v>
      </c>
      <c r="D6" s="4">
        <f t="shared" ref="D6:H6" si="1">(D4-D5)/D5</f>
        <v>1.8686378058521445E-2</v>
      </c>
      <c r="E6" s="4">
        <f t="shared" si="1"/>
        <v>6.5598291281340371E-2</v>
      </c>
      <c r="F6" s="4">
        <f t="shared" si="1"/>
        <v>6.7090405302113909E-2</v>
      </c>
      <c r="G6" s="4">
        <f t="shared" si="1"/>
        <v>3.3385497972900476E-2</v>
      </c>
      <c r="H6" s="4">
        <f t="shared" si="1"/>
        <v>6.1494780999660298E-2</v>
      </c>
      <c r="I6" s="4"/>
      <c r="J6" s="4"/>
      <c r="O6" s="75" t="s">
        <v>6</v>
      </c>
    </row>
    <row r="8" spans="1:23">
      <c r="D8" s="92" t="s">
        <v>7</v>
      </c>
      <c r="E8" s="93"/>
      <c r="F8" s="92" t="s">
        <v>252</v>
      </c>
      <c r="G8" s="94"/>
      <c r="H8" s="93"/>
      <c r="I8" s="92" t="s">
        <v>8</v>
      </c>
      <c r="J8" s="93"/>
      <c r="K8" s="92" t="s">
        <v>9</v>
      </c>
      <c r="L8" s="93"/>
      <c r="M8" s="92" t="s">
        <v>10</v>
      </c>
      <c r="N8" s="93"/>
      <c r="O8" s="92" t="s">
        <v>3</v>
      </c>
      <c r="P8" s="93"/>
      <c r="Q8" s="92" t="s">
        <v>11</v>
      </c>
      <c r="R8" s="93"/>
      <c r="T8" s="77" t="s">
        <v>12</v>
      </c>
    </row>
    <row r="9" spans="1:23">
      <c r="H9" s="78"/>
    </row>
    <row r="10" spans="1:23">
      <c r="B10" s="79" t="s">
        <v>13</v>
      </c>
      <c r="C10" s="79" t="s">
        <v>14</v>
      </c>
      <c r="D10" s="79" t="s">
        <v>15</v>
      </c>
      <c r="E10" s="79" t="s">
        <v>16</v>
      </c>
      <c r="F10" s="79" t="s">
        <v>88</v>
      </c>
      <c r="G10" s="79" t="s">
        <v>253</v>
      </c>
      <c r="H10" s="80" t="s">
        <v>7</v>
      </c>
      <c r="I10" s="79" t="s">
        <v>18</v>
      </c>
      <c r="J10" s="79" t="s">
        <v>19</v>
      </c>
      <c r="K10" s="79" t="s">
        <v>20</v>
      </c>
      <c r="L10" s="79" t="s">
        <v>21</v>
      </c>
      <c r="M10" s="79" t="s">
        <v>22</v>
      </c>
      <c r="N10" s="79" t="s">
        <v>23</v>
      </c>
      <c r="O10" s="79" t="s">
        <v>24</v>
      </c>
      <c r="P10" s="79" t="s">
        <v>25</v>
      </c>
      <c r="Q10" s="79" t="s">
        <v>26</v>
      </c>
      <c r="R10" s="79" t="s">
        <v>27</v>
      </c>
    </row>
    <row r="11" spans="1:23">
      <c r="B11" s="81" t="s">
        <v>28</v>
      </c>
      <c r="C11" s="81" t="s">
        <v>29</v>
      </c>
      <c r="D11" s="81" t="s">
        <v>30</v>
      </c>
      <c r="E11" s="81" t="s">
        <v>31</v>
      </c>
      <c r="F11" s="81" t="s">
        <v>32</v>
      </c>
      <c r="G11" s="81" t="s">
        <v>31</v>
      </c>
      <c r="H11" s="82" t="s">
        <v>33</v>
      </c>
      <c r="I11" s="81" t="s">
        <v>32</v>
      </c>
      <c r="J11" s="81" t="s">
        <v>31</v>
      </c>
      <c r="K11" s="81" t="s">
        <v>32</v>
      </c>
      <c r="L11" s="81" t="s">
        <v>31</v>
      </c>
      <c r="M11" s="81" t="s">
        <v>32</v>
      </c>
      <c r="N11" s="81" t="s">
        <v>31</v>
      </c>
      <c r="O11" s="81" t="s">
        <v>32</v>
      </c>
      <c r="P11" s="81" t="s">
        <v>31</v>
      </c>
      <c r="Q11" s="81" t="s">
        <v>32</v>
      </c>
      <c r="R11" s="81" t="s">
        <v>31</v>
      </c>
    </row>
    <row r="13" spans="1:23">
      <c r="A13" s="27" t="s">
        <v>34</v>
      </c>
      <c r="D13" s="3">
        <f>[7]fy26_salary_projection!B32</f>
        <v>648415528.90868688</v>
      </c>
      <c r="E13" s="3">
        <f>[7]fy26_salary_projection!B46</f>
        <v>68877641.161350012</v>
      </c>
      <c r="F13" s="3">
        <f>[7]fy26_salary_projection!C32+[7]fy26_salary_projection!G32</f>
        <v>1137108007.1533835</v>
      </c>
      <c r="G13" s="3">
        <f>[7]fy26_salary_projection!C46</f>
        <v>1171348085.4957004</v>
      </c>
      <c r="H13" s="3">
        <f>[7]fy26_salary_projection!B61</f>
        <v>487632489.53796667</v>
      </c>
      <c r="I13" s="3">
        <f>[7]fy26_salary_projection!D32</f>
        <v>0</v>
      </c>
      <c r="J13" s="3">
        <f>[7]fy26_salary_projection!D46</f>
        <v>0</v>
      </c>
      <c r="K13" s="3">
        <f>[7]fy26_salary_projection!E32</f>
        <v>168646208.07046726</v>
      </c>
      <c r="L13" s="3">
        <f>[7]fy26_salary_projection!E46</f>
        <v>239594849.49645007</v>
      </c>
      <c r="M13" s="3">
        <f>[7]fy26_salary_projection!F32</f>
        <v>63552624.063884996</v>
      </c>
      <c r="N13" s="3">
        <f>[7]fy26_salary_projection!F46</f>
        <v>4768785.0291339997</v>
      </c>
      <c r="O13" s="3">
        <f>0</f>
        <v>0</v>
      </c>
      <c r="P13" s="3">
        <f>[7]fy26_salary_projection!G46</f>
        <v>0</v>
      </c>
      <c r="Q13" s="3">
        <f>[7]fy26_salary_projection!H32</f>
        <v>156170684.34542698</v>
      </c>
      <c r="R13" s="3">
        <f>[7]fy26_salary_projection!H46</f>
        <v>445032.24121300003</v>
      </c>
      <c r="S13" s="3"/>
      <c r="T13" s="3">
        <f>SUM(D13:S13)</f>
        <v>4146559935.503664</v>
      </c>
    </row>
    <row r="15" spans="1:23">
      <c r="A15" s="27" t="s">
        <v>35</v>
      </c>
      <c r="D15" s="83">
        <f>[7]FY24_Alloc_Actual_Bnft_Cost!D12</f>
        <v>4876.0889249999818</v>
      </c>
      <c r="E15" s="83">
        <f>[7]FY24_Alloc_Actual_Bnft_Cost!E12</f>
        <v>858.95237499999996</v>
      </c>
      <c r="F15" s="83">
        <f>[7]FY24_Alloc_Actual_Bnft_Cost!F12</f>
        <v>14070.861800000011</v>
      </c>
      <c r="G15" s="83">
        <f>[7]FY24_Alloc_Actual_Bnft_Cost!G12</f>
        <v>13865.668200000095</v>
      </c>
      <c r="H15" s="83">
        <f>[7]FY24_Alloc_Actual_Bnft_Cost!H12</f>
        <v>734.13749999999811</v>
      </c>
      <c r="I15" s="83">
        <f>[7]FY24_Alloc_Actual_Bnft_Cost!I12</f>
        <v>0</v>
      </c>
      <c r="J15" s="83">
        <f>[7]FY24_Alloc_Actual_Bnft_Cost!J12</f>
        <v>0</v>
      </c>
      <c r="O15" s="83">
        <f>0</f>
        <v>0</v>
      </c>
    </row>
    <row r="16" spans="1:23">
      <c r="V16" s="27" t="s">
        <v>36</v>
      </c>
      <c r="W16" s="79" t="s">
        <v>37</v>
      </c>
    </row>
    <row r="18" spans="1:24">
      <c r="A18" s="27" t="s">
        <v>38</v>
      </c>
      <c r="B18" s="79" t="s">
        <v>39</v>
      </c>
      <c r="C18" s="84">
        <f>[7]fy26_bnft_proj_by_component!B21</f>
        <v>0.13750000000000001</v>
      </c>
      <c r="D18" s="3">
        <f>D13*C18</f>
        <v>89157135.224944457</v>
      </c>
      <c r="E18" s="3">
        <f>E13*C18</f>
        <v>9470675.6596856266</v>
      </c>
      <c r="F18" s="3"/>
      <c r="G18" s="3"/>
      <c r="H18" s="3"/>
      <c r="I18" s="3"/>
      <c r="J18" s="3"/>
      <c r="K18" s="3">
        <f>K13*C18</f>
        <v>23188853.609689251</v>
      </c>
      <c r="L18" s="3">
        <f>L13*C18</f>
        <v>32944291.805761889</v>
      </c>
      <c r="M18" s="3"/>
      <c r="N18" s="3"/>
      <c r="O18" s="3"/>
      <c r="P18" s="3"/>
      <c r="Q18" s="3"/>
      <c r="R18" s="3"/>
      <c r="S18" s="3"/>
      <c r="T18" s="85">
        <f>SUM(D18:S18)</f>
        <v>154760956.30008122</v>
      </c>
      <c r="V18" s="3">
        <f>[7]FY25_HR_cost_estimates!C27</f>
        <v>146415308.50179601</v>
      </c>
      <c r="W18" s="85">
        <f>T18-V18</f>
        <v>8345647.7982852161</v>
      </c>
    </row>
    <row r="19" spans="1:24">
      <c r="A19" s="27" t="s">
        <v>40</v>
      </c>
      <c r="B19" s="79" t="s">
        <v>39</v>
      </c>
      <c r="C19" s="84">
        <f>[7]fy26_bnft_proj_by_component!B38</f>
        <v>0.13750000000000001</v>
      </c>
      <c r="D19" s="3"/>
      <c r="E19" s="3"/>
      <c r="F19" s="3">
        <f>F13*C19</f>
        <v>156352350.98359025</v>
      </c>
      <c r="G19" s="3">
        <f>G13*C19</f>
        <v>161060361.75565881</v>
      </c>
      <c r="H19" s="3">
        <f>H$13*$C19</f>
        <v>67049467.311470419</v>
      </c>
      <c r="I19" s="3">
        <f>I13*C19</f>
        <v>0</v>
      </c>
      <c r="J19" s="3">
        <f>J13*C19</f>
        <v>0</v>
      </c>
      <c r="K19" s="3"/>
      <c r="L19" s="3"/>
      <c r="M19" s="3"/>
      <c r="N19" s="3"/>
      <c r="O19" s="3"/>
      <c r="P19" s="3"/>
      <c r="Q19" s="3"/>
      <c r="R19" s="3"/>
      <c r="S19" s="3"/>
      <c r="T19" s="85">
        <f>SUM(D19:S19)</f>
        <v>384462180.0507195</v>
      </c>
      <c r="V19" s="3">
        <f>[7]FY25_HR_cost_estimates!C28+[7]FY25_HR_cost_estimates!C29</f>
        <v>338493349.974096</v>
      </c>
      <c r="W19" s="85">
        <f t="shared" ref="W19:W34" si="2">T19-V19</f>
        <v>45968830.076623499</v>
      </c>
    </row>
    <row r="20" spans="1:24">
      <c r="A20" s="27" t="s">
        <v>41</v>
      </c>
      <c r="B20" s="79" t="s">
        <v>39</v>
      </c>
      <c r="C20" s="84">
        <f>[7]fy26_bnft_proj_by_component!B57</f>
        <v>1.4544136932346099E-2</v>
      </c>
      <c r="D20" s="3">
        <f t="shared" ref="D20:L20" si="3">D13*$C20</f>
        <v>9430644.2415075619</v>
      </c>
      <c r="E20" s="3">
        <f t="shared" si="3"/>
        <v>1001765.8446276726</v>
      </c>
      <c r="F20" s="3">
        <f t="shared" si="3"/>
        <v>16538254.562905997</v>
      </c>
      <c r="G20" s="3">
        <f t="shared" si="3"/>
        <v>17036246.95089091</v>
      </c>
      <c r="H20" s="3">
        <f t="shared" si="3"/>
        <v>7092193.7005010135</v>
      </c>
      <c r="I20" s="3">
        <f t="shared" si="3"/>
        <v>0</v>
      </c>
      <c r="J20" s="3">
        <f t="shared" si="3"/>
        <v>0</v>
      </c>
      <c r="K20" s="3">
        <f t="shared" si="3"/>
        <v>2452813.5432978077</v>
      </c>
      <c r="L20" s="3">
        <f t="shared" si="3"/>
        <v>3484700.2993612243</v>
      </c>
      <c r="M20" s="3"/>
      <c r="N20" s="3"/>
      <c r="O20" s="3"/>
      <c r="P20" s="3"/>
      <c r="Q20" s="3"/>
      <c r="R20" s="3"/>
      <c r="S20" s="3"/>
      <c r="T20" s="85">
        <f t="shared" ref="T20:T34" si="4">SUM(D20:S20)</f>
        <v>57036619.143092185</v>
      </c>
      <c r="V20" s="3">
        <f>[7]FY25_HR_cost_estimates!C30</f>
        <v>53211668.152199998</v>
      </c>
      <c r="W20" s="85">
        <f t="shared" si="2"/>
        <v>3824950.9908921868</v>
      </c>
    </row>
    <row r="21" spans="1:24">
      <c r="A21" s="27" t="s">
        <v>42</v>
      </c>
      <c r="B21" s="79" t="s">
        <v>39</v>
      </c>
      <c r="C21" s="84">
        <f>[7]fy26_bnft_proj_by_component!B73</f>
        <v>2.8204012763591983E-3</v>
      </c>
      <c r="D21" s="3">
        <f t="shared" ref="D21:J21" si="5">D13*$C21</f>
        <v>1828791.985345185</v>
      </c>
      <c r="E21" s="3">
        <f t="shared" si="5"/>
        <v>194262.58704408244</v>
      </c>
      <c r="F21" s="3">
        <f t="shared" si="5"/>
        <v>3207100.8747336674</v>
      </c>
      <c r="G21" s="3">
        <f t="shared" si="5"/>
        <v>3303671.6353929765</v>
      </c>
      <c r="H21" s="3">
        <f t="shared" si="5"/>
        <v>1375319.2958870947</v>
      </c>
      <c r="I21" s="3">
        <f t="shared" si="5"/>
        <v>0</v>
      </c>
      <c r="J21" s="3">
        <f t="shared" si="5"/>
        <v>0</v>
      </c>
      <c r="K21" s="3"/>
      <c r="L21" s="3"/>
      <c r="M21" s="3"/>
      <c r="N21" s="3"/>
      <c r="O21" s="3"/>
      <c r="P21" s="3"/>
      <c r="Q21" s="3"/>
      <c r="R21" s="3"/>
      <c r="S21" s="3"/>
      <c r="T21" s="85">
        <f t="shared" si="4"/>
        <v>9909146.3784030061</v>
      </c>
      <c r="V21" s="3">
        <f>[7]FY25_HR_cost_estimates!C34</f>
        <v>7654559.1717240009</v>
      </c>
      <c r="W21" s="85">
        <f t="shared" si="2"/>
        <v>2254587.2066790052</v>
      </c>
    </row>
    <row r="22" spans="1:24">
      <c r="A22" s="27" t="s">
        <v>43</v>
      </c>
      <c r="B22" s="79" t="s">
        <v>39</v>
      </c>
      <c r="C22" s="84">
        <f>[7]fy26_bnft_proj_by_component!B89</f>
        <v>2.355724421298513E-3</v>
      </c>
      <c r="D22" s="3">
        <f t="shared" ref="D22:J22" si="6">D13*$C22</f>
        <v>1527488.2965993856</v>
      </c>
      <c r="E22" s="3">
        <f t="shared" si="6"/>
        <v>162256.74136522791</v>
      </c>
      <c r="F22" s="3">
        <f t="shared" si="6"/>
        <v>2678713.1021053097</v>
      </c>
      <c r="G22" s="3">
        <f t="shared" si="6"/>
        <v>2759373.2908434798</v>
      </c>
      <c r="H22" s="3">
        <f t="shared" si="6"/>
        <v>1148727.7642231798</v>
      </c>
      <c r="I22" s="3">
        <f t="shared" si="6"/>
        <v>0</v>
      </c>
      <c r="J22" s="3">
        <f t="shared" si="6"/>
        <v>0</v>
      </c>
      <c r="K22" s="3"/>
      <c r="L22" s="3"/>
      <c r="M22" s="3"/>
      <c r="N22" s="3"/>
      <c r="O22" s="3"/>
      <c r="P22" s="3"/>
      <c r="Q22" s="3"/>
      <c r="R22" s="3"/>
      <c r="S22" s="3"/>
      <c r="T22" s="85">
        <f t="shared" si="4"/>
        <v>8276559.1951365834</v>
      </c>
      <c r="V22" s="3">
        <f>[7]FY25_HR_cost_estimates!C35</f>
        <v>7818485.3552159993</v>
      </c>
      <c r="W22" s="85">
        <f t="shared" si="2"/>
        <v>458073.83992058411</v>
      </c>
    </row>
    <row r="23" spans="1:24">
      <c r="A23" s="27" t="s">
        <v>44</v>
      </c>
      <c r="B23" s="79" t="s">
        <v>39</v>
      </c>
      <c r="C23" s="84">
        <f>[7]fy26_bnft_proj_by_component!B105</f>
        <v>1.9952358182896715E-4</v>
      </c>
      <c r="D23" s="3">
        <f t="shared" ref="D23:L23" si="7">D13*$C23</f>
        <v>129374.1888413854</v>
      </c>
      <c r="E23" s="3">
        <f t="shared" si="7"/>
        <v>13742.713672442855</v>
      </c>
      <c r="F23" s="3">
        <f t="shared" si="7"/>
        <v>226879.86251364189</v>
      </c>
      <c r="G23" s="3">
        <f t="shared" si="7"/>
        <v>233711.56558660537</v>
      </c>
      <c r="H23" s="3">
        <f t="shared" si="7"/>
        <v>97294.180928791466</v>
      </c>
      <c r="I23" s="3">
        <f t="shared" si="7"/>
        <v>0</v>
      </c>
      <c r="J23" s="3">
        <f t="shared" si="7"/>
        <v>0</v>
      </c>
      <c r="K23" s="3">
        <f t="shared" si="7"/>
        <v>33648.895496092897</v>
      </c>
      <c r="L23" s="3">
        <f t="shared" si="7"/>
        <v>47804.822559304026</v>
      </c>
      <c r="M23" s="3"/>
      <c r="N23" s="3"/>
      <c r="O23" s="3"/>
      <c r="P23" s="3"/>
      <c r="Q23" s="3"/>
      <c r="R23" s="3"/>
      <c r="S23" s="3"/>
      <c r="T23" s="85">
        <f t="shared" si="4"/>
        <v>782456.22959826386</v>
      </c>
      <c r="V23" s="3">
        <f>[7]FY25_HR_cost_estimates!C36</f>
        <v>520033.09903199959</v>
      </c>
      <c r="W23" s="85">
        <f t="shared" si="2"/>
        <v>262423.13056626427</v>
      </c>
    </row>
    <row r="24" spans="1:24">
      <c r="A24" s="27" t="s">
        <v>45</v>
      </c>
      <c r="B24" s="79" t="s">
        <v>39</v>
      </c>
      <c r="C24" s="84">
        <f>[7]fy26_bnft_proj_by_component!B121</f>
        <v>1.0226504318246652E-3</v>
      </c>
      <c r="D24" s="3">
        <f>D13*$C24</f>
        <v>663102.42064028734</v>
      </c>
      <c r="E24" s="3"/>
      <c r="F24" s="3">
        <f>F13*$C24</f>
        <v>1162863.9945466921</v>
      </c>
      <c r="G24" s="3"/>
      <c r="H24" s="3">
        <f>H13*$C24</f>
        <v>498677.57599773811</v>
      </c>
      <c r="I24" s="3">
        <f>I13*$C24</f>
        <v>0</v>
      </c>
      <c r="J24" s="3"/>
      <c r="K24" s="3">
        <f>K13*$C24</f>
        <v>172466.11750885568</v>
      </c>
      <c r="L24" s="3"/>
      <c r="M24" s="3">
        <f>M13*$C24</f>
        <v>64992.118442522595</v>
      </c>
      <c r="N24" s="3"/>
      <c r="O24" s="3"/>
      <c r="P24" s="3"/>
      <c r="Q24" s="3">
        <f>Q13*$C24</f>
        <v>159708.01778420436</v>
      </c>
      <c r="R24" s="3"/>
      <c r="S24" s="3"/>
      <c r="T24" s="85">
        <f t="shared" si="4"/>
        <v>2721810.2449203003</v>
      </c>
      <c r="V24" s="3">
        <f>[7]FY25_HR_cost_estimates!C37</f>
        <v>6568770.5999999996</v>
      </c>
      <c r="W24" s="85">
        <f t="shared" si="2"/>
        <v>-3846960.3550796993</v>
      </c>
    </row>
    <row r="25" spans="1:24">
      <c r="A25" s="27" t="s">
        <v>46</v>
      </c>
      <c r="B25" s="79" t="s">
        <v>39</v>
      </c>
      <c r="C25" s="84">
        <f>[7]fy26_bnft_proj_by_component!B137</f>
        <v>2.6291156749372623E-3</v>
      </c>
      <c r="D25" s="3"/>
      <c r="E25" s="3">
        <f>E13*$C25</f>
        <v>181087.2860300093</v>
      </c>
      <c r="F25" s="3"/>
      <c r="G25" s="3">
        <f>G13*$C25</f>
        <v>3079609.6123844981</v>
      </c>
      <c r="H25" s="3"/>
      <c r="I25" s="3"/>
      <c r="J25" s="3">
        <f>J13*$C25</f>
        <v>0</v>
      </c>
      <c r="K25" s="3"/>
      <c r="L25" s="3">
        <f>L13*$C25</f>
        <v>629922.57444535114</v>
      </c>
      <c r="M25" s="3"/>
      <c r="N25" s="3">
        <f>N13*$C25</f>
        <v>12537.687470502347</v>
      </c>
      <c r="O25" s="3"/>
      <c r="P25" s="3"/>
      <c r="Q25" s="3"/>
      <c r="R25" s="3">
        <f>R13*$C25</f>
        <v>1170.0412412255591</v>
      </c>
      <c r="S25" s="3"/>
      <c r="T25" s="85">
        <f t="shared" si="4"/>
        <v>3904327.2015715865</v>
      </c>
      <c r="V25" s="3"/>
      <c r="W25" s="85">
        <f t="shared" si="2"/>
        <v>3904327.2015715865</v>
      </c>
    </row>
    <row r="26" spans="1:24">
      <c r="A26" s="27" t="s">
        <v>47</v>
      </c>
      <c r="B26" s="79" t="s">
        <v>39</v>
      </c>
      <c r="C26" s="84">
        <f>[7]fy26_bnft_proj_by_component!B153</f>
        <v>2.4477997875525614E-3</v>
      </c>
      <c r="D26" s="3">
        <f t="shared" ref="D26:N26" si="8">D13*$C26</f>
        <v>1587191.3939084655</v>
      </c>
      <c r="E26" s="3">
        <f t="shared" si="8"/>
        <v>168598.67540187412</v>
      </c>
      <c r="F26" s="3">
        <f t="shared" si="8"/>
        <v>2783412.7383343684</v>
      </c>
      <c r="G26" s="3">
        <f t="shared" si="8"/>
        <v>2867225.5948264748</v>
      </c>
      <c r="H26" s="3">
        <f t="shared" si="8"/>
        <v>1193626.7042947614</v>
      </c>
      <c r="I26" s="3">
        <f t="shared" si="8"/>
        <v>0</v>
      </c>
      <c r="J26" s="3">
        <f t="shared" si="8"/>
        <v>0</v>
      </c>
      <c r="K26" s="3">
        <f t="shared" si="8"/>
        <v>412812.15228643484</v>
      </c>
      <c r="L26" s="3">
        <f t="shared" si="8"/>
        <v>586480.22169609845</v>
      </c>
      <c r="M26" s="3">
        <f t="shared" si="8"/>
        <v>155564.09968198551</v>
      </c>
      <c r="N26" s="3">
        <f t="shared" si="8"/>
        <v>11673.030981198041</v>
      </c>
      <c r="O26" s="3"/>
      <c r="P26" s="3"/>
      <c r="Q26" s="3">
        <f>Q13*$C26</f>
        <v>382274.56796267431</v>
      </c>
      <c r="R26" s="3">
        <f>R13*$C26</f>
        <v>1089.3498254952217</v>
      </c>
      <c r="S26" s="3"/>
      <c r="T26" s="85">
        <f t="shared" si="4"/>
        <v>10149948.529199831</v>
      </c>
      <c r="V26" s="3">
        <f>[7]FY25_HR_cost_estimates!C33+[7]FY25_HR_cost_estimates!C40</f>
        <v>8970013.2352999989</v>
      </c>
      <c r="W26" s="85">
        <f t="shared" si="2"/>
        <v>1179935.2938998323</v>
      </c>
    </row>
    <row r="27" spans="1:24">
      <c r="A27" s="27" t="s">
        <v>48</v>
      </c>
      <c r="B27" s="79" t="s">
        <v>39</v>
      </c>
      <c r="C27" s="84">
        <f>[7]fy26_bnft_proj_by_component!B169</f>
        <v>0.12290816451116524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>
        <f>Q13*$C27</f>
        <v>19194652.163348995</v>
      </c>
      <c r="R27" s="3">
        <f>R13*$C27</f>
        <v>54698.095915779973</v>
      </c>
      <c r="S27" s="3"/>
      <c r="T27" s="85">
        <f t="shared" si="4"/>
        <v>19249350.259264775</v>
      </c>
      <c r="V27" s="72">
        <f>[7]FY25_HR_cost_estimates!G41</f>
        <v>17476459.140009608</v>
      </c>
      <c r="W27" s="85">
        <f t="shared" si="2"/>
        <v>1772891.1192551665</v>
      </c>
    </row>
    <row r="28" spans="1:24">
      <c r="A28" s="27" t="s">
        <v>49</v>
      </c>
      <c r="B28" s="79" t="s">
        <v>50</v>
      </c>
      <c r="C28" s="5">
        <f>[7]fy26_bnft_proj_by_component!B186</f>
        <v>14389.175818345839</v>
      </c>
      <c r="D28" s="3">
        <f t="shared" ref="D28:J34" si="9">D$15*$C28</f>
        <v>70162900.847713694</v>
      </c>
      <c r="E28" s="3">
        <f t="shared" si="9"/>
        <v>12359616.743460726</v>
      </c>
      <c r="F28" s="3">
        <f t="shared" si="9"/>
        <v>202468104.35584638</v>
      </c>
      <c r="G28" s="3">
        <f t="shared" si="9"/>
        <v>199515537.56864825</v>
      </c>
      <c r="H28" s="3">
        <f t="shared" si="9"/>
        <v>10563633.562340841</v>
      </c>
      <c r="I28" s="3">
        <f t="shared" si="9"/>
        <v>0</v>
      </c>
      <c r="J28" s="3">
        <f t="shared" si="9"/>
        <v>0</v>
      </c>
      <c r="K28" s="3"/>
      <c r="L28" s="3"/>
      <c r="M28" s="3"/>
      <c r="N28" s="3"/>
      <c r="O28" s="3">
        <f t="shared" ref="O28:O34" si="10">O$15*$C28</f>
        <v>0</v>
      </c>
      <c r="P28" s="3"/>
      <c r="Q28" s="3"/>
      <c r="R28" s="3"/>
      <c r="S28" s="3"/>
      <c r="T28" s="85">
        <f t="shared" si="4"/>
        <v>495069793.07800984</v>
      </c>
      <c r="V28" s="3">
        <f>[7]FY25_HR_cost_estimates!C31</f>
        <v>431199763.70587212</v>
      </c>
      <c r="W28" s="85">
        <f t="shared" si="2"/>
        <v>63870029.372137725</v>
      </c>
    </row>
    <row r="29" spans="1:24">
      <c r="A29" s="27" t="s">
        <v>51</v>
      </c>
      <c r="B29" s="79" t="s">
        <v>50</v>
      </c>
      <c r="C29" s="5">
        <f>[7]fy26_bnft_proj_by_component!B204</f>
        <v>4.7660967127975118</v>
      </c>
      <c r="D29" s="3">
        <f t="shared" si="9"/>
        <v>23239.911396750766</v>
      </c>
      <c r="E29" s="3">
        <f t="shared" si="9"/>
        <v>4093.8500909371155</v>
      </c>
      <c r="F29" s="3">
        <f t="shared" si="9"/>
        <v>67063.088171208132</v>
      </c>
      <c r="G29" s="3">
        <f t="shared" si="9"/>
        <v>66085.115628761443</v>
      </c>
      <c r="H29" s="3">
        <f t="shared" si="9"/>
        <v>3498.9703254913743</v>
      </c>
      <c r="I29" s="3">
        <f t="shared" si="9"/>
        <v>0</v>
      </c>
      <c r="J29" s="3">
        <f t="shared" si="9"/>
        <v>0</v>
      </c>
      <c r="K29" s="3"/>
      <c r="L29" s="3"/>
      <c r="M29" s="3"/>
      <c r="N29" s="3"/>
      <c r="O29" s="3">
        <f t="shared" si="10"/>
        <v>0</v>
      </c>
      <c r="P29" s="3"/>
      <c r="Q29" s="3"/>
      <c r="R29" s="3"/>
      <c r="S29" s="3"/>
      <c r="T29" s="85">
        <f t="shared" si="4"/>
        <v>163980.93561314882</v>
      </c>
      <c r="V29" s="3">
        <f>[7]FY25_HR_cost_estimates!C32</f>
        <v>396098.51</v>
      </c>
      <c r="W29" s="85">
        <f t="shared" si="2"/>
        <v>-232117.57438685119</v>
      </c>
      <c r="X29" s="27" t="s">
        <v>254</v>
      </c>
    </row>
    <row r="30" spans="1:24">
      <c r="A30" s="27" t="s">
        <v>255</v>
      </c>
      <c r="B30" s="79" t="s">
        <v>50</v>
      </c>
      <c r="C30" s="5">
        <f>[7]fy26_bnft_proj_by_component!B216</f>
        <v>319.67721854129655</v>
      </c>
      <c r="D30" s="3">
        <f t="shared" si="9"/>
        <v>1558774.544904015</v>
      </c>
      <c r="E30" s="3">
        <f t="shared" si="9"/>
        <v>274587.50609944068</v>
      </c>
      <c r="F30" s="3">
        <f t="shared" si="9"/>
        <v>4498133.9627029849</v>
      </c>
      <c r="G30" s="3">
        <f t="shared" si="9"/>
        <v>4432538.2433925364</v>
      </c>
      <c r="H30" s="3">
        <f t="shared" si="9"/>
        <v>234687.03402686049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85">
        <f t="shared" si="4"/>
        <v>10998721.291125838</v>
      </c>
      <c r="V30" s="3">
        <f>[7]FY25_HR_cost_estimates!C44</f>
        <v>11000000</v>
      </c>
      <c r="W30" s="85">
        <f t="shared" si="2"/>
        <v>-1278.7088741622865</v>
      </c>
    </row>
    <row r="31" spans="1:24">
      <c r="A31" s="27" t="s">
        <v>52</v>
      </c>
      <c r="B31" s="79" t="s">
        <v>50</v>
      </c>
      <c r="C31" s="5">
        <f>[7]fy26_bnft_proj_by_component!B232</f>
        <v>36.008649662969468</v>
      </c>
      <c r="D31" s="3">
        <f t="shared" si="9"/>
        <v>175581.37782580976</v>
      </c>
      <c r="E31" s="3">
        <f t="shared" si="9"/>
        <v>30929.715148550571</v>
      </c>
      <c r="F31" s="3">
        <f t="shared" si="9"/>
        <v>506672.7330122604</v>
      </c>
      <c r="G31" s="3">
        <f t="shared" si="9"/>
        <v>499283.98855677986</v>
      </c>
      <c r="H31" s="3">
        <f t="shared" si="9"/>
        <v>26435.30004194818</v>
      </c>
      <c r="I31" s="3">
        <f t="shared" si="9"/>
        <v>0</v>
      </c>
      <c r="J31" s="3">
        <f t="shared" si="9"/>
        <v>0</v>
      </c>
      <c r="K31" s="3"/>
      <c r="L31" s="3"/>
      <c r="M31" s="3"/>
      <c r="N31" s="3"/>
      <c r="O31" s="3">
        <f t="shared" si="10"/>
        <v>0</v>
      </c>
      <c r="P31" s="3"/>
      <c r="Q31" s="3"/>
      <c r="R31" s="3"/>
      <c r="S31" s="3"/>
      <c r="T31" s="85">
        <f t="shared" si="4"/>
        <v>1238903.1145853489</v>
      </c>
      <c r="V31" s="3">
        <f>[7]FY25_HR_cost_estimates!C38</f>
        <v>1403517.9626610002</v>
      </c>
      <c r="W31" s="85">
        <f t="shared" si="2"/>
        <v>-164614.84807565133</v>
      </c>
    </row>
    <row r="32" spans="1:24">
      <c r="A32" s="27" t="s">
        <v>53</v>
      </c>
      <c r="B32" s="79" t="s">
        <v>50</v>
      </c>
      <c r="C32" s="5">
        <f>[7]fy26_bnft_proj_by_component!B248</f>
        <v>518.17509227683331</v>
      </c>
      <c r="D32" s="3">
        <f t="shared" si="9"/>
        <v>2526667.8286619107</v>
      </c>
      <c r="E32" s="3">
        <f t="shared" si="9"/>
        <v>445087.72617703013</v>
      </c>
      <c r="F32" s="3">
        <f t="shared" si="9"/>
        <v>7291170.1116295746</v>
      </c>
      <c r="G32" s="3">
        <f t="shared" si="9"/>
        <v>7184843.899015002</v>
      </c>
      <c r="H32" s="3">
        <f t="shared" si="9"/>
        <v>380411.76680638274</v>
      </c>
      <c r="I32" s="3">
        <f t="shared" si="9"/>
        <v>0</v>
      </c>
      <c r="J32" s="3">
        <f t="shared" si="9"/>
        <v>0</v>
      </c>
      <c r="K32" s="3"/>
      <c r="L32" s="3"/>
      <c r="M32" s="3"/>
      <c r="N32" s="3"/>
      <c r="O32" s="3">
        <f t="shared" si="10"/>
        <v>0</v>
      </c>
      <c r="P32" s="3"/>
      <c r="Q32" s="3"/>
      <c r="R32" s="3"/>
      <c r="S32" s="3"/>
      <c r="T32" s="85">
        <f t="shared" si="4"/>
        <v>17828181.332289901</v>
      </c>
      <c r="V32" s="3">
        <f>[7]FY25_HR_cost_estimates!C39</f>
        <v>16835446.978105001</v>
      </c>
      <c r="W32" s="85">
        <f t="shared" si="2"/>
        <v>992734.35418489948</v>
      </c>
    </row>
    <row r="33" spans="1:23">
      <c r="A33" s="27" t="s">
        <v>54</v>
      </c>
      <c r="B33" s="79" t="s">
        <v>50</v>
      </c>
      <c r="C33" s="5">
        <f>[7]fy26_bnft_proj_by_component!B264</f>
        <v>808.18782035098036</v>
      </c>
      <c r="D33" s="3">
        <f t="shared" si="9"/>
        <v>3940795.6801332901</v>
      </c>
      <c r="E33" s="3">
        <f t="shared" si="9"/>
        <v>694194.84773654793</v>
      </c>
      <c r="F33" s="3">
        <f t="shared" si="9"/>
        <v>11371899.128601881</v>
      </c>
      <c r="G33" s="3">
        <f t="shared" si="9"/>
        <v>11206064.160267977</v>
      </c>
      <c r="H33" s="3">
        <f t="shared" si="9"/>
        <v>593320.98596291628</v>
      </c>
      <c r="I33" s="3">
        <f t="shared" si="9"/>
        <v>0</v>
      </c>
      <c r="J33" s="3">
        <f t="shared" si="9"/>
        <v>0</v>
      </c>
      <c r="K33" s="3"/>
      <c r="L33" s="3"/>
      <c r="M33" s="3"/>
      <c r="N33" s="3"/>
      <c r="O33" s="3">
        <f t="shared" si="10"/>
        <v>0</v>
      </c>
      <c r="P33" s="3"/>
      <c r="Q33" s="3"/>
      <c r="R33" s="3"/>
      <c r="S33" s="3"/>
      <c r="T33" s="85">
        <f t="shared" si="4"/>
        <v>27806274.802702609</v>
      </c>
      <c r="V33" s="3">
        <f>[7]FY25_HR_cost_estimates!C42</f>
        <v>23834051.409999996</v>
      </c>
      <c r="W33" s="85">
        <f t="shared" si="2"/>
        <v>3972223.392702613</v>
      </c>
    </row>
    <row r="34" spans="1:23">
      <c r="A34" s="27" t="s">
        <v>55</v>
      </c>
      <c r="B34" s="79" t="s">
        <v>50</v>
      </c>
      <c r="C34" s="5">
        <f>[7]fy26_bnft_proj_by_component!B280</f>
        <v>362.4849267360255</v>
      </c>
      <c r="D34" s="3">
        <f t="shared" si="9"/>
        <v>1767508.7367369637</v>
      </c>
      <c r="E34" s="3">
        <f t="shared" si="9"/>
        <v>311357.28872161009</v>
      </c>
      <c r="F34" s="3">
        <f t="shared" si="9"/>
        <v>5100475.3086857442</v>
      </c>
      <c r="G34" s="3">
        <f t="shared" si="9"/>
        <v>5026095.7216230733</v>
      </c>
      <c r="H34" s="3">
        <f t="shared" si="9"/>
        <v>266113.77790166822</v>
      </c>
      <c r="I34" s="3">
        <f t="shared" si="9"/>
        <v>0</v>
      </c>
      <c r="J34" s="3">
        <f t="shared" si="9"/>
        <v>0</v>
      </c>
      <c r="K34" s="3"/>
      <c r="L34" s="3"/>
      <c r="M34" s="3"/>
      <c r="N34" s="3"/>
      <c r="O34" s="3">
        <f t="shared" si="10"/>
        <v>0</v>
      </c>
      <c r="P34" s="3"/>
      <c r="Q34" s="3"/>
      <c r="R34" s="3"/>
      <c r="S34" s="3"/>
      <c r="T34" s="85">
        <f t="shared" si="4"/>
        <v>12471550.833669059</v>
      </c>
      <c r="V34" s="3">
        <f>[7]FY25_HR_cost_estimates!C43</f>
        <v>11492356.749011997</v>
      </c>
      <c r="W34" s="85">
        <f t="shared" si="2"/>
        <v>979194.08465706185</v>
      </c>
    </row>
    <row r="35" spans="1:23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23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3" ht="13.5" thickBot="1">
      <c r="A37" s="27" t="s">
        <v>56</v>
      </c>
      <c r="D37" s="6">
        <f t="shared" ref="D37:R37" si="11">SUM(D18:D36)</f>
        <v>184479196.67915913</v>
      </c>
      <c r="E37" s="6">
        <f t="shared" si="11"/>
        <v>25312257.185261775</v>
      </c>
      <c r="F37" s="6">
        <f t="shared" si="11"/>
        <v>414253094.80737984</v>
      </c>
      <c r="G37" s="6">
        <f t="shared" si="11"/>
        <v>418270649.10271609</v>
      </c>
      <c r="H37" s="6">
        <f t="shared" si="11"/>
        <v>90523407.930709079</v>
      </c>
      <c r="I37" s="6">
        <f t="shared" si="11"/>
        <v>0</v>
      </c>
      <c r="J37" s="6">
        <f t="shared" si="11"/>
        <v>0</v>
      </c>
      <c r="K37" s="6">
        <f t="shared" si="11"/>
        <v>26260594.318278443</v>
      </c>
      <c r="L37" s="6">
        <f t="shared" si="11"/>
        <v>37693199.723823868</v>
      </c>
      <c r="M37" s="6">
        <f t="shared" si="11"/>
        <v>220556.2181245081</v>
      </c>
      <c r="N37" s="6">
        <f t="shared" si="11"/>
        <v>24210.718451700388</v>
      </c>
      <c r="O37" s="6">
        <f t="shared" si="11"/>
        <v>0</v>
      </c>
      <c r="P37" s="6">
        <f t="shared" si="11"/>
        <v>0</v>
      </c>
      <c r="Q37" s="6">
        <f t="shared" si="11"/>
        <v>19736634.749095872</v>
      </c>
      <c r="R37" s="6">
        <f t="shared" si="11"/>
        <v>56957.486982500755</v>
      </c>
      <c r="S37" s="3"/>
      <c r="T37" s="86">
        <f>SUM(D37:S37)</f>
        <v>1216830758.9199829</v>
      </c>
      <c r="V37" s="85">
        <f>SUM(V18:V34)</f>
        <v>1083289882.5450237</v>
      </c>
      <c r="W37" s="85">
        <f>T37-V37</f>
        <v>133540876.37495923</v>
      </c>
    </row>
    <row r="38" spans="1:23" ht="13.5" thickTop="1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3"/>
    </row>
    <row r="39" spans="1:23">
      <c r="A39" s="37" t="s">
        <v>57</v>
      </c>
      <c r="D39" s="8">
        <f t="shared" ref="D39:R39" si="12">D37/D13</f>
        <v>0.2845076782624964</v>
      </c>
      <c r="E39" s="8">
        <f t="shared" si="12"/>
        <v>0.36749599374296649</v>
      </c>
      <c r="F39" s="8">
        <f t="shared" si="12"/>
        <v>0.36430408738780573</v>
      </c>
      <c r="G39" s="8">
        <f t="shared" si="12"/>
        <v>0.3570848446179079</v>
      </c>
      <c r="H39" s="8">
        <f t="shared" si="12"/>
        <v>0.18563859027621457</v>
      </c>
      <c r="I39" s="8">
        <f>0</f>
        <v>0</v>
      </c>
      <c r="J39" s="8">
        <f>0</f>
        <v>0</v>
      </c>
      <c r="K39" s="8">
        <f t="shared" si="12"/>
        <v>0.15571411073355232</v>
      </c>
      <c r="L39" s="8">
        <f t="shared" si="12"/>
        <v>0.15732057597666491</v>
      </c>
      <c r="M39" s="8">
        <f t="shared" si="12"/>
        <v>3.4704502193772268E-3</v>
      </c>
      <c r="N39" s="8">
        <f t="shared" si="12"/>
        <v>5.0769154624898238E-3</v>
      </c>
      <c r="O39" s="8" t="e">
        <f t="shared" si="12"/>
        <v>#DIV/0!</v>
      </c>
      <c r="P39" s="8" t="e">
        <f t="shared" si="12"/>
        <v>#DIV/0!</v>
      </c>
      <c r="Q39" s="8">
        <f t="shared" si="12"/>
        <v>0.12637861473054243</v>
      </c>
      <c r="R39" s="8">
        <f t="shared" si="12"/>
        <v>0.12798507997365505</v>
      </c>
      <c r="S39" s="3"/>
    </row>
    <row r="40" spans="1:23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3"/>
    </row>
    <row r="41" spans="1:23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3"/>
    </row>
    <row r="42" spans="1:23">
      <c r="A42" s="27" t="s">
        <v>58</v>
      </c>
      <c r="D42" s="7">
        <f>D37-D73</f>
        <v>167261350.29785892</v>
      </c>
      <c r="E42" s="9"/>
      <c r="F42" s="7">
        <f>F37-E73</f>
        <v>365623564.49199021</v>
      </c>
      <c r="G42" s="9"/>
      <c r="H42" s="9"/>
      <c r="I42" s="7">
        <f>I37-F73</f>
        <v>0</v>
      </c>
      <c r="J42" s="9"/>
      <c r="K42" s="7">
        <f>K37-G73</f>
        <v>22244423.828053162</v>
      </c>
      <c r="L42" s="9"/>
      <c r="M42" s="7">
        <f>M37</f>
        <v>220556.2181245081</v>
      </c>
      <c r="N42" s="9"/>
      <c r="O42" s="7">
        <f>O37</f>
        <v>0</v>
      </c>
      <c r="P42" s="9"/>
      <c r="Q42" s="7">
        <f>Q37-I73</f>
        <v>12744449.932037653</v>
      </c>
      <c r="R42" s="9"/>
      <c r="S42" s="3"/>
    </row>
    <row r="43" spans="1:23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3"/>
    </row>
    <row r="44" spans="1:23">
      <c r="A44" s="27" t="s">
        <v>59</v>
      </c>
      <c r="D44" s="7">
        <f>D13-D75</f>
        <v>586786274.6029582</v>
      </c>
      <c r="E44" s="9"/>
      <c r="F44" s="7">
        <f>F13-E75</f>
        <v>1000455553.5608001</v>
      </c>
      <c r="G44" s="9"/>
      <c r="H44" s="9"/>
      <c r="I44" s="7">
        <f>I13-F75</f>
        <v>0</v>
      </c>
      <c r="J44" s="9"/>
      <c r="K44" s="7">
        <f>K13-G75</f>
        <v>142854258.50786477</v>
      </c>
      <c r="L44" s="9"/>
      <c r="M44" s="7">
        <f>M13</f>
        <v>63552624.063884996</v>
      </c>
      <c r="N44" s="9"/>
      <c r="O44" s="7">
        <f>O13</f>
        <v>0</v>
      </c>
      <c r="P44" s="9"/>
      <c r="Q44" s="7">
        <f>Q13-I75</f>
        <v>98715015.868409991</v>
      </c>
      <c r="R44" s="9"/>
      <c r="S44" s="3"/>
    </row>
    <row r="45" spans="1:23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3"/>
    </row>
    <row r="46" spans="1:23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3"/>
    </row>
    <row r="47" spans="1:23">
      <c r="A47" s="37" t="s">
        <v>60</v>
      </c>
      <c r="D47" s="9"/>
      <c r="E47" s="9"/>
      <c r="F47" s="10">
        <f>(F37+I37)/(F13+I13)</f>
        <v>0.36430408738780573</v>
      </c>
      <c r="G47" s="10">
        <f>(G37+J37)/(G13+J13)</f>
        <v>0.3570848446179079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3"/>
    </row>
    <row r="48" spans="1:23">
      <c r="D48" s="9"/>
      <c r="E48" s="9"/>
      <c r="F48" s="11" t="s">
        <v>32</v>
      </c>
      <c r="G48" s="11" t="s">
        <v>31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3"/>
    </row>
    <row r="49" spans="1:19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3"/>
    </row>
    <row r="50" spans="1:19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7" t="s">
        <v>61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27" t="s">
        <v>62</v>
      </c>
      <c r="D53" s="12">
        <f>[7]fy26_salary_projection!B34</f>
        <v>9.5045925888686836E-2</v>
      </c>
      <c r="E53" s="12">
        <f>[7]fy26_salary_projection!C34</f>
        <v>0.12017543868561516</v>
      </c>
      <c r="F53" s="12">
        <f>[7]fy26_salary_projection!D34</f>
        <v>0</v>
      </c>
      <c r="G53" s="12">
        <f>[7]fy26_salary_projection!E34</f>
        <v>0.15293524744905954</v>
      </c>
      <c r="H53" s="12"/>
      <c r="I53" s="13">
        <f>J85</f>
        <v>0.35035916770766279</v>
      </c>
      <c r="J53" s="3" t="s">
        <v>63</v>
      </c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D54" s="81" t="s">
        <v>15</v>
      </c>
      <c r="E54" s="81" t="s">
        <v>17</v>
      </c>
      <c r="F54" s="81" t="s">
        <v>18</v>
      </c>
      <c r="G54" s="81" t="s">
        <v>20</v>
      </c>
      <c r="H54" s="81"/>
      <c r="I54" s="81" t="s">
        <v>64</v>
      </c>
    </row>
    <row r="56" spans="1:19">
      <c r="A56" s="27" t="s">
        <v>38</v>
      </c>
      <c r="D56" s="85">
        <f t="shared" ref="D56:D67" si="13">D18*D$53</f>
        <v>8474022.467037702</v>
      </c>
      <c r="E56" s="85">
        <f t="shared" ref="E56:E67" si="14">F18*E$53</f>
        <v>0</v>
      </c>
      <c r="F56" s="85">
        <f t="shared" ref="F56:F67" si="15">I18*F$53</f>
        <v>0</v>
      </c>
      <c r="G56" s="85">
        <f t="shared" ref="G56:G67" si="16">K18*G$53</f>
        <v>3546393.0648578429</v>
      </c>
      <c r="H56" s="85"/>
      <c r="I56" s="87">
        <f t="shared" ref="I56:I67" si="17">(M18+O18+Q18)*I$53</f>
        <v>0</v>
      </c>
    </row>
    <row r="57" spans="1:19">
      <c r="A57" s="27" t="s">
        <v>40</v>
      </c>
      <c r="D57" s="85">
        <f t="shared" si="13"/>
        <v>0</v>
      </c>
      <c r="E57" s="85">
        <f t="shared" si="14"/>
        <v>18789712.368980229</v>
      </c>
      <c r="F57" s="85">
        <f t="shared" si="15"/>
        <v>0</v>
      </c>
      <c r="G57" s="85">
        <f t="shared" si="16"/>
        <v>0</v>
      </c>
      <c r="H57" s="85"/>
      <c r="I57" s="87">
        <f t="shared" si="17"/>
        <v>0</v>
      </c>
    </row>
    <row r="58" spans="1:19">
      <c r="A58" s="27" t="s">
        <v>41</v>
      </c>
      <c r="D58" s="85">
        <f t="shared" si="13"/>
        <v>896344.31366089906</v>
      </c>
      <c r="E58" s="85">
        <f t="shared" si="14"/>
        <v>1987491.9971916047</v>
      </c>
      <c r="F58" s="85">
        <f t="shared" si="15"/>
        <v>0</v>
      </c>
      <c r="G58" s="85">
        <f t="shared" si="16"/>
        <v>375121.64619065472</v>
      </c>
      <c r="H58" s="85"/>
      <c r="I58" s="87">
        <f t="shared" si="17"/>
        <v>0</v>
      </c>
    </row>
    <row r="59" spans="1:19">
      <c r="A59" s="27" t="s">
        <v>42</v>
      </c>
      <c r="D59" s="85">
        <f t="shared" si="13"/>
        <v>173819.22750494292</v>
      </c>
      <c r="E59" s="85">
        <f t="shared" si="14"/>
        <v>385414.75453013857</v>
      </c>
      <c r="F59" s="85">
        <f t="shared" si="15"/>
        <v>0</v>
      </c>
      <c r="G59" s="85">
        <f t="shared" si="16"/>
        <v>0</v>
      </c>
      <c r="H59" s="85"/>
      <c r="I59" s="87">
        <f t="shared" si="17"/>
        <v>0</v>
      </c>
    </row>
    <row r="60" spans="1:19">
      <c r="A60" s="27" t="s">
        <v>43</v>
      </c>
      <c r="D60" s="85">
        <f t="shared" si="13"/>
        <v>145181.53943442169</v>
      </c>
      <c r="E60" s="85">
        <f t="shared" si="14"/>
        <v>321915.52215841063</v>
      </c>
      <c r="F60" s="85">
        <f t="shared" si="15"/>
        <v>0</v>
      </c>
      <c r="G60" s="85">
        <f t="shared" si="16"/>
        <v>0</v>
      </c>
      <c r="H60" s="85"/>
      <c r="I60" s="87">
        <f t="shared" si="17"/>
        <v>0</v>
      </c>
    </row>
    <row r="61" spans="1:19">
      <c r="A61" s="27" t="s">
        <v>44</v>
      </c>
      <c r="D61" s="85">
        <f t="shared" si="13"/>
        <v>12296.489564527292</v>
      </c>
      <c r="E61" s="85">
        <f t="shared" si="14"/>
        <v>27265.387006508969</v>
      </c>
      <c r="F61" s="85">
        <f t="shared" si="15"/>
        <v>0</v>
      </c>
      <c r="G61" s="85">
        <f t="shared" si="16"/>
        <v>5146.1021590825121</v>
      </c>
      <c r="H61" s="85"/>
      <c r="I61" s="87">
        <f t="shared" si="17"/>
        <v>0</v>
      </c>
    </row>
    <row r="62" spans="1:19">
      <c r="A62" s="27" t="s">
        <v>45</v>
      </c>
      <c r="D62" s="85">
        <f t="shared" si="13"/>
        <v>63025.183528785594</v>
      </c>
      <c r="E62" s="85">
        <f t="shared" si="14"/>
        <v>139747.69067635553</v>
      </c>
      <c r="F62" s="85">
        <f t="shared" si="15"/>
        <v>0</v>
      </c>
      <c r="G62" s="85">
        <f t="shared" si="16"/>
        <v>26376.148357795424</v>
      </c>
      <c r="H62" s="85"/>
      <c r="I62" s="85">
        <f t="shared" si="17"/>
        <v>78725.752712194502</v>
      </c>
    </row>
    <row r="63" spans="1:19">
      <c r="A63" s="27" t="s">
        <v>46</v>
      </c>
      <c r="D63" s="85">
        <f t="shared" si="13"/>
        <v>0</v>
      </c>
      <c r="E63" s="85">
        <f t="shared" si="14"/>
        <v>0</v>
      </c>
      <c r="F63" s="85">
        <f t="shared" si="15"/>
        <v>0</v>
      </c>
      <c r="G63" s="85">
        <f t="shared" si="16"/>
        <v>0</v>
      </c>
      <c r="H63" s="85"/>
      <c r="I63" s="85">
        <f t="shared" si="17"/>
        <v>0</v>
      </c>
    </row>
    <row r="64" spans="1:19">
      <c r="A64" s="27" t="s">
        <v>65</v>
      </c>
      <c r="D64" s="85">
        <f t="shared" si="13"/>
        <v>150856.07559658558</v>
      </c>
      <c r="E64" s="85">
        <f t="shared" si="14"/>
        <v>334497.84687246208</v>
      </c>
      <c r="F64" s="85">
        <f t="shared" si="15"/>
        <v>0</v>
      </c>
      <c r="G64" s="85">
        <f t="shared" si="16"/>
        <v>63133.528659904761</v>
      </c>
      <c r="H64" s="85"/>
      <c r="I64" s="85">
        <f t="shared" si="17"/>
        <v>188436.70795698126</v>
      </c>
    </row>
    <row r="65" spans="1:10" ht="10.5" customHeight="1">
      <c r="A65" s="27" t="s">
        <v>48</v>
      </c>
      <c r="D65" s="85">
        <f t="shared" si="13"/>
        <v>0</v>
      </c>
      <c r="E65" s="85">
        <f t="shared" si="14"/>
        <v>0</v>
      </c>
      <c r="F65" s="85">
        <f t="shared" si="15"/>
        <v>0</v>
      </c>
      <c r="G65" s="85">
        <f t="shared" si="16"/>
        <v>0</v>
      </c>
      <c r="H65" s="85"/>
      <c r="I65" s="85">
        <f t="shared" si="17"/>
        <v>6725022.3563890429</v>
      </c>
    </row>
    <row r="66" spans="1:10">
      <c r="A66" s="27" t="s">
        <v>49</v>
      </c>
      <c r="D66" s="85">
        <f t="shared" si="13"/>
        <v>6668697.8741070786</v>
      </c>
      <c r="E66" s="85">
        <f t="shared" si="14"/>
        <v>24331693.260808747</v>
      </c>
      <c r="F66" s="85">
        <f t="shared" si="15"/>
        <v>0</v>
      </c>
      <c r="G66" s="87">
        <f t="shared" si="16"/>
        <v>0</v>
      </c>
      <c r="H66" s="87"/>
      <c r="I66" s="85">
        <f t="shared" si="17"/>
        <v>0</v>
      </c>
    </row>
    <row r="67" spans="1:10">
      <c r="A67" s="27" t="s">
        <v>51</v>
      </c>
      <c r="D67" s="85">
        <f t="shared" si="13"/>
        <v>2208.8588962752219</v>
      </c>
      <c r="E67" s="85">
        <f t="shared" si="14"/>
        <v>8059.3360405870262</v>
      </c>
      <c r="F67" s="85">
        <f t="shared" si="15"/>
        <v>0</v>
      </c>
      <c r="G67" s="87">
        <f t="shared" si="16"/>
        <v>0</v>
      </c>
      <c r="H67" s="87"/>
      <c r="I67" s="85">
        <f t="shared" si="17"/>
        <v>0</v>
      </c>
    </row>
    <row r="68" spans="1:10">
      <c r="A68" s="27" t="s">
        <v>52</v>
      </c>
      <c r="D68" s="85">
        <f>D31*D$53</f>
        <v>16688.294624265436</v>
      </c>
      <c r="E68" s="85">
        <f>F31*E$53</f>
        <v>60889.61795978796</v>
      </c>
      <c r="F68" s="85">
        <f>I31*F$53</f>
        <v>0</v>
      </c>
      <c r="G68" s="85">
        <f>K31*G$53</f>
        <v>0</v>
      </c>
      <c r="H68" s="85"/>
      <c r="I68" s="85">
        <f>(M31+O31+Q31)*I$53</f>
        <v>0</v>
      </c>
    </row>
    <row r="69" spans="1:10">
      <c r="A69" s="27" t="s">
        <v>53</v>
      </c>
      <c r="D69" s="85">
        <f>D32*D$53</f>
        <v>240149.48318832926</v>
      </c>
      <c r="E69" s="85">
        <f>F32*E$53</f>
        <v>876219.56669652974</v>
      </c>
      <c r="F69" s="85">
        <f>I32*F$53</f>
        <v>0</v>
      </c>
      <c r="G69" s="85">
        <f>K32*G$53</f>
        <v>0</v>
      </c>
      <c r="H69" s="85"/>
      <c r="I69" s="85">
        <f>(M32+O32+Q32)*I$53</f>
        <v>0</v>
      </c>
    </row>
    <row r="70" spans="1:10">
      <c r="A70" s="27" t="s">
        <v>54</v>
      </c>
      <c r="D70" s="85">
        <f>D33*D$53</f>
        <v>374556.57415640593</v>
      </c>
      <c r="E70" s="85">
        <f>F33*E$53</f>
        <v>1366622.9664682958</v>
      </c>
      <c r="F70" s="85">
        <f>I33*F$53</f>
        <v>0</v>
      </c>
      <c r="G70" s="85">
        <f>K33*G$53</f>
        <v>0</v>
      </c>
      <c r="H70" s="85"/>
      <c r="I70" s="85">
        <f>(M33+O33+Q33)*I$53</f>
        <v>0</v>
      </c>
    </row>
    <row r="71" spans="1:10">
      <c r="A71" s="88" t="s">
        <v>66</v>
      </c>
      <c r="B71" s="88"/>
      <c r="C71" s="88"/>
      <c r="D71" s="85"/>
      <c r="E71" s="85"/>
      <c r="F71" s="85"/>
      <c r="G71" s="85"/>
      <c r="H71" s="85"/>
      <c r="I71" s="85"/>
    </row>
    <row r="73" spans="1:10" ht="13.5" thickBot="1">
      <c r="A73" s="27" t="s">
        <v>67</v>
      </c>
      <c r="D73" s="89">
        <f>SUM(D56:D72)</f>
        <v>17217846.381300218</v>
      </c>
      <c r="E73" s="89">
        <f>SUM(E56:E72)</f>
        <v>48629530.315389663</v>
      </c>
      <c r="F73" s="89">
        <f>SUM(F56:F72)</f>
        <v>0</v>
      </c>
      <c r="G73" s="89">
        <f>SUM(G56:G72)</f>
        <v>4016170.4902252806</v>
      </c>
      <c r="H73" s="89"/>
      <c r="I73" s="89">
        <f>SUM(I56:I72)</f>
        <v>6992184.8170582186</v>
      </c>
    </row>
    <row r="74" spans="1:10" ht="13.5" thickTop="1"/>
    <row r="75" spans="1:10" ht="13.5" thickBot="1">
      <c r="A75" s="27" t="s">
        <v>68</v>
      </c>
      <c r="D75" s="14">
        <f>[7]fy26_salary_projection!B29</f>
        <v>61629254.305728734</v>
      </c>
      <c r="E75" s="14">
        <f>[7]fy26_salary_projection!C29</f>
        <v>136652453.59258348</v>
      </c>
      <c r="F75" s="14">
        <f>[7]fy26_salary_projection!D29</f>
        <v>0</v>
      </c>
      <c r="G75" s="14">
        <f>[7]fy26_salary_projection!E29</f>
        <v>25791949.562602494</v>
      </c>
      <c r="H75" s="14"/>
      <c r="I75" s="14">
        <f>[7]fy26_salary_projection!H29</f>
        <v>57455668.477016993</v>
      </c>
    </row>
    <row r="76" spans="1:10" ht="13.5" thickTop="1"/>
    <row r="78" spans="1:10">
      <c r="A78" s="37" t="s">
        <v>69</v>
      </c>
    </row>
    <row r="79" spans="1:10">
      <c r="E79" s="79" t="s">
        <v>70</v>
      </c>
      <c r="F79" s="79" t="s">
        <v>71</v>
      </c>
      <c r="G79" s="79" t="s">
        <v>72</v>
      </c>
      <c r="H79" s="79"/>
      <c r="I79" s="79" t="s">
        <v>73</v>
      </c>
    </row>
    <row r="80" spans="1:10">
      <c r="D80" s="79" t="s">
        <v>72</v>
      </c>
      <c r="E80" s="79" t="s">
        <v>74</v>
      </c>
      <c r="F80" s="79" t="s">
        <v>75</v>
      </c>
      <c r="G80" s="79" t="s">
        <v>76</v>
      </c>
      <c r="H80" s="79"/>
      <c r="I80" s="79" t="s">
        <v>77</v>
      </c>
      <c r="J80" s="79"/>
    </row>
    <row r="81" spans="1:10">
      <c r="D81" s="90" t="s">
        <v>78</v>
      </c>
      <c r="E81" s="90" t="s">
        <v>79</v>
      </c>
      <c r="F81" s="90" t="s">
        <v>80</v>
      </c>
      <c r="G81" s="90" t="s">
        <v>81</v>
      </c>
      <c r="H81" s="90"/>
      <c r="I81" s="81" t="s">
        <v>82</v>
      </c>
      <c r="J81" s="90" t="s">
        <v>83</v>
      </c>
    </row>
    <row r="83" spans="1:10">
      <c r="A83" s="27" t="s">
        <v>84</v>
      </c>
      <c r="D83" s="3">
        <f>D85-D84</f>
        <v>3431535.9199874997</v>
      </c>
      <c r="E83" s="3">
        <f>E85-E84</f>
        <v>66984159.983872503</v>
      </c>
      <c r="F83" s="3">
        <f>M37+O37</f>
        <v>220556.2181245081</v>
      </c>
      <c r="G83" s="15">
        <f>F83/E83</f>
        <v>3.2926622977374129E-3</v>
      </c>
      <c r="H83" s="15"/>
      <c r="I83" s="3">
        <f>D83*G83</f>
        <v>11298.888947074507</v>
      </c>
    </row>
    <row r="84" spans="1:10">
      <c r="A84" s="27" t="s">
        <v>85</v>
      </c>
      <c r="D84" s="16">
        <f>[7]fy26_salary_projection!N23*(1+[7]fy26_salary_projection!H25)*(1+[7]fy26_salary_projection!H27)</f>
        <v>54024132.557029493</v>
      </c>
      <c r="E84" s="16">
        <f>[7]fy26_salary_projection!H18+fy26_summary_bnft_projection!D84</f>
        <v>152739148.42543948</v>
      </c>
      <c r="F84" s="16">
        <f>Q37</f>
        <v>19736634.749095872</v>
      </c>
      <c r="G84" s="15">
        <f>F84/E84</f>
        <v>0.12921791795068457</v>
      </c>
      <c r="H84" s="15"/>
      <c r="I84" s="3">
        <f>D84*G84</f>
        <v>6980885.9281111443</v>
      </c>
    </row>
    <row r="85" spans="1:10">
      <c r="A85" s="27" t="s">
        <v>86</v>
      </c>
      <c r="D85" s="3">
        <f>[7]fy26_salary_projection!H29</f>
        <v>57455668.477016993</v>
      </c>
      <c r="E85" s="3">
        <f>[7]fy26_salary_projection!F32+[7]fy26_salary_projection!G32+[7]fy26_salary_projection!H32</f>
        <v>219723308.40931198</v>
      </c>
      <c r="F85" s="17">
        <f>SUM(F83:F84)</f>
        <v>19957190.967220381</v>
      </c>
      <c r="G85" s="3"/>
      <c r="H85" s="3"/>
      <c r="I85" s="17">
        <f>SUM(I83:I84)</f>
        <v>6992184.8170582186</v>
      </c>
      <c r="J85" s="18">
        <f>I85/F85</f>
        <v>0.35035916770766279</v>
      </c>
    </row>
    <row r="86" spans="1:10">
      <c r="D86" s="3"/>
      <c r="E86" s="3"/>
      <c r="F86" s="3"/>
      <c r="G86" s="3"/>
      <c r="H86" s="3"/>
      <c r="I86" s="3"/>
    </row>
    <row r="88" spans="1:10">
      <c r="A88" s="37" t="s">
        <v>266</v>
      </c>
    </row>
    <row r="89" spans="1:10">
      <c r="I89" s="82" t="s">
        <v>265</v>
      </c>
    </row>
    <row r="90" spans="1:10">
      <c r="A90" s="27" t="s">
        <v>262</v>
      </c>
      <c r="D90" s="85">
        <v>569804959.34211206</v>
      </c>
      <c r="E90" s="85">
        <v>57617080.865448005</v>
      </c>
      <c r="F90" s="85">
        <v>945401275.54653811</v>
      </c>
      <c r="G90" s="85">
        <v>977007280.09346902</v>
      </c>
      <c r="H90" s="85">
        <v>391380311.85498309</v>
      </c>
      <c r="I90" s="85">
        <f>SUM(D90:H90)</f>
        <v>2941210907.7025499</v>
      </c>
    </row>
    <row r="91" spans="1:10">
      <c r="A91" s="27" t="s">
        <v>263</v>
      </c>
      <c r="D91" s="91">
        <v>602785205.84940803</v>
      </c>
      <c r="E91" s="91">
        <v>60683675.937621005</v>
      </c>
      <c r="F91" s="91">
        <v>1031145364.7971219</v>
      </c>
      <c r="G91" s="91">
        <v>1046317532.3520851</v>
      </c>
      <c r="H91" s="91">
        <v>447154221.33260202</v>
      </c>
      <c r="I91" s="91">
        <f>SUM(D91:H91)</f>
        <v>3188086000.2688379</v>
      </c>
    </row>
    <row r="92" spans="1:10">
      <c r="A92" s="27" t="s">
        <v>260</v>
      </c>
      <c r="D92" s="85">
        <f>D91-D90</f>
        <v>32980246.507295966</v>
      </c>
      <c r="E92" s="85">
        <f t="shared" ref="E92:I92" si="18">E91-E90</f>
        <v>3066595.0721729994</v>
      </c>
      <c r="F92" s="85">
        <f t="shared" si="18"/>
        <v>85744089.250583768</v>
      </c>
      <c r="G92" s="85">
        <f t="shared" si="18"/>
        <v>69310252.25861609</v>
      </c>
      <c r="H92" s="85">
        <f t="shared" si="18"/>
        <v>55773909.477618933</v>
      </c>
      <c r="I92" s="85">
        <f t="shared" si="18"/>
        <v>246875092.56628799</v>
      </c>
    </row>
    <row r="93" spans="1:10">
      <c r="A93" s="27" t="s">
        <v>259</v>
      </c>
      <c r="D93" s="4">
        <f>D92/D90</f>
        <v>5.787988673418084E-2</v>
      </c>
      <c r="E93" s="4">
        <f t="shared" ref="E93:I93" si="19">E92/E90</f>
        <v>5.3223714671250984E-2</v>
      </c>
      <c r="F93" s="4">
        <f t="shared" si="19"/>
        <v>9.0695973729266396E-2</v>
      </c>
      <c r="G93" s="4">
        <f t="shared" si="19"/>
        <v>7.0941387716154242E-2</v>
      </c>
      <c r="H93" s="4">
        <f t="shared" si="19"/>
        <v>0.14250565955470101</v>
      </c>
      <c r="I93" s="4">
        <f t="shared" si="19"/>
        <v>8.3936548691480276E-2</v>
      </c>
    </row>
    <row r="95" spans="1:10">
      <c r="A95" s="27" t="s">
        <v>264</v>
      </c>
      <c r="D95" s="85">
        <f>D90*1.03</f>
        <v>586899108.12237549</v>
      </c>
      <c r="E95" s="85">
        <f t="shared" ref="E95:I95" si="20">E90*1.03</f>
        <v>59345593.291411445</v>
      </c>
      <c r="F95" s="85">
        <f t="shared" si="20"/>
        <v>973763313.81293428</v>
      </c>
      <c r="G95" s="85">
        <f t="shared" si="20"/>
        <v>1006317498.4962732</v>
      </c>
      <c r="H95" s="85">
        <f t="shared" si="20"/>
        <v>403121721.21063262</v>
      </c>
      <c r="I95" s="85">
        <f t="shared" si="20"/>
        <v>3029447234.9336267</v>
      </c>
    </row>
    <row r="96" spans="1:10">
      <c r="A96" s="27" t="s">
        <v>263</v>
      </c>
      <c r="D96" s="91">
        <f>D91</f>
        <v>602785205.84940803</v>
      </c>
      <c r="E96" s="91">
        <f t="shared" ref="E96:I96" si="21">E91</f>
        <v>60683675.937621005</v>
      </c>
      <c r="F96" s="91">
        <f t="shared" si="21"/>
        <v>1031145364.7971219</v>
      </c>
      <c r="G96" s="91">
        <f t="shared" si="21"/>
        <v>1046317532.3520851</v>
      </c>
      <c r="H96" s="91">
        <f t="shared" si="21"/>
        <v>447154221.33260202</v>
      </c>
      <c r="I96" s="91">
        <f t="shared" si="21"/>
        <v>3188086000.2688379</v>
      </c>
    </row>
    <row r="97" spans="1:9">
      <c r="A97" s="27" t="s">
        <v>260</v>
      </c>
      <c r="D97" s="85">
        <f>D96-D95</f>
        <v>15886097.727032542</v>
      </c>
      <c r="E97" s="85">
        <f t="shared" ref="E97:I97" si="22">E96-E95</f>
        <v>1338082.6462095603</v>
      </c>
      <c r="F97" s="85">
        <f t="shared" si="22"/>
        <v>57382050.984187603</v>
      </c>
      <c r="G97" s="85">
        <f t="shared" si="22"/>
        <v>40000033.855811954</v>
      </c>
      <c r="H97" s="85">
        <f t="shared" si="22"/>
        <v>44032500.121969402</v>
      </c>
      <c r="I97" s="85">
        <f t="shared" si="22"/>
        <v>158638765.33521128</v>
      </c>
    </row>
    <row r="98" spans="1:9">
      <c r="A98" s="27" t="s">
        <v>259</v>
      </c>
      <c r="D98" s="4">
        <f>D97/D95</f>
        <v>2.7067851198233718E-2</v>
      </c>
      <c r="E98" s="4">
        <f t="shared" ref="E98:I98" si="23">E97/E95</f>
        <v>2.2547295797331071E-2</v>
      </c>
      <c r="F98" s="4">
        <f t="shared" si="23"/>
        <v>5.8928129834239201E-2</v>
      </c>
      <c r="G98" s="4">
        <f t="shared" si="23"/>
        <v>3.9748920112771043E-2</v>
      </c>
      <c r="H98" s="4">
        <f t="shared" si="23"/>
        <v>0.10922879568417564</v>
      </c>
      <c r="I98" s="4">
        <f t="shared" si="23"/>
        <v>5.2365581253864271E-2</v>
      </c>
    </row>
    <row r="100" spans="1:9">
      <c r="A100" s="27" t="s">
        <v>262</v>
      </c>
      <c r="D100" s="85">
        <f>D90</f>
        <v>569804959.34211206</v>
      </c>
      <c r="E100" s="85">
        <f t="shared" ref="E100:I100" si="24">E90</f>
        <v>57617080.865448005</v>
      </c>
      <c r="F100" s="85">
        <f t="shared" si="24"/>
        <v>945401275.54653811</v>
      </c>
      <c r="G100" s="85">
        <f t="shared" si="24"/>
        <v>977007280.09346902</v>
      </c>
      <c r="H100" s="85">
        <f t="shared" si="24"/>
        <v>391380311.85498309</v>
      </c>
      <c r="I100" s="85">
        <f t="shared" si="24"/>
        <v>2941210907.7025499</v>
      </c>
    </row>
    <row r="101" spans="1:9">
      <c r="A101" s="27" t="s">
        <v>261</v>
      </c>
      <c r="D101" s="91">
        <f>D91/1.03</f>
        <v>585228355.19360006</v>
      </c>
      <c r="E101" s="91">
        <f t="shared" ref="E101:I101" si="25">E91/1.03</f>
        <v>58916190.230700001</v>
      </c>
      <c r="F101" s="91">
        <f t="shared" si="25"/>
        <v>1001112004.6573999</v>
      </c>
      <c r="G101" s="91">
        <f t="shared" si="25"/>
        <v>1015842264.4195001</v>
      </c>
      <c r="H101" s="91">
        <f t="shared" si="25"/>
        <v>434130311.9734</v>
      </c>
      <c r="I101" s="91">
        <f t="shared" si="25"/>
        <v>3095229126.4745998</v>
      </c>
    </row>
    <row r="102" spans="1:9">
      <c r="A102" s="27" t="s">
        <v>260</v>
      </c>
      <c r="D102" s="85">
        <f>D101-D100</f>
        <v>15423395.851487994</v>
      </c>
      <c r="E102" s="85">
        <f t="shared" ref="E102:I102" si="26">E101-E100</f>
        <v>1299109.3652519956</v>
      </c>
      <c r="F102" s="85">
        <f t="shared" si="26"/>
        <v>55710729.110861778</v>
      </c>
      <c r="G102" s="85">
        <f t="shared" si="26"/>
        <v>38834984.326031089</v>
      </c>
      <c r="H102" s="85">
        <f t="shared" si="26"/>
        <v>42750000.118416905</v>
      </c>
      <c r="I102" s="85">
        <f t="shared" si="26"/>
        <v>154018218.7720499</v>
      </c>
    </row>
    <row r="103" spans="1:9">
      <c r="A103" s="27" t="s">
        <v>259</v>
      </c>
      <c r="D103" s="4">
        <f>D102/D100</f>
        <v>2.7067851198233878E-2</v>
      </c>
      <c r="E103" s="4">
        <f t="shared" ref="E103:I103" si="27">E102/E100</f>
        <v>2.2547295797330991E-2</v>
      </c>
      <c r="F103" s="4">
        <f t="shared" si="27"/>
        <v>5.8928129834239236E-2</v>
      </c>
      <c r="G103" s="4">
        <f t="shared" si="27"/>
        <v>3.9748920112771112E-2</v>
      </c>
      <c r="H103" s="4">
        <f t="shared" si="27"/>
        <v>0.10922879568417568</v>
      </c>
      <c r="I103" s="4">
        <f t="shared" si="27"/>
        <v>5.236558125386432E-2</v>
      </c>
    </row>
    <row r="105" spans="1:9">
      <c r="A105" s="27" t="s">
        <v>258</v>
      </c>
    </row>
    <row r="106" spans="1:9">
      <c r="A106" s="27" t="s">
        <v>258</v>
      </c>
    </row>
  </sheetData>
  <mergeCells count="7">
    <mergeCell ref="Q8:R8"/>
    <mergeCell ref="D8:E8"/>
    <mergeCell ref="F8:H8"/>
    <mergeCell ref="I8:J8"/>
    <mergeCell ref="K8:L8"/>
    <mergeCell ref="M8:N8"/>
    <mergeCell ref="O8:P8"/>
  </mergeCells>
  <printOptions gridLines="1"/>
  <pageMargins left="0.5" right="0.5" top="0.5" bottom="0.5" header="0.5" footer="0.5"/>
  <pageSetup scale="3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516A-FEAB-49EF-8055-F7E0CB877A13}">
  <dimension ref="A1:F44"/>
  <sheetViews>
    <sheetView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H2" sqref="H2"/>
    </sheetView>
  </sheetViews>
  <sheetFormatPr defaultRowHeight="12.75"/>
  <cols>
    <col min="1" max="1" width="33.7109375" style="27" bestFit="1" customWidth="1"/>
    <col min="2" max="2" width="11.7109375" style="40" customWidth="1"/>
    <col min="3" max="3" width="49.7109375" style="38" customWidth="1"/>
    <col min="4" max="5" width="8.85546875" style="42"/>
    <col min="6" max="6" width="8.85546875" style="71"/>
  </cols>
  <sheetData>
    <row r="1" spans="1:6" ht="13.5" thickBot="1">
      <c r="D1" s="63" t="s">
        <v>269</v>
      </c>
      <c r="E1" s="64"/>
      <c r="F1" s="65"/>
    </row>
    <row r="2" spans="1:6" s="1" customFormat="1" ht="26.25" thickBot="1">
      <c r="B2" s="41" t="s">
        <v>158</v>
      </c>
      <c r="C2" s="39" t="s">
        <v>159</v>
      </c>
      <c r="D2" s="58" t="s">
        <v>249</v>
      </c>
      <c r="E2" s="58" t="s">
        <v>250</v>
      </c>
      <c r="F2" s="66" t="s">
        <v>90</v>
      </c>
    </row>
    <row r="3" spans="1:6" ht="25.5">
      <c r="A3" s="46" t="s">
        <v>15</v>
      </c>
      <c r="B3" s="47" t="s">
        <v>160</v>
      </c>
      <c r="C3" s="48" t="s">
        <v>161</v>
      </c>
      <c r="D3" s="59">
        <f>'Rate Summary'!B2</f>
        <v>0.28499999999999998</v>
      </c>
      <c r="E3" s="59">
        <f>'Rate Summary'!B9</f>
        <v>0.36699999999999999</v>
      </c>
      <c r="F3" s="67">
        <f>'Rate Summary'!B16</f>
        <v>0.28299999999999997</v>
      </c>
    </row>
    <row r="4" spans="1:6" ht="25.5">
      <c r="A4" s="49"/>
      <c r="B4" s="45" t="s">
        <v>162</v>
      </c>
      <c r="C4" s="38" t="s">
        <v>163</v>
      </c>
      <c r="D4" s="60">
        <f>D3</f>
        <v>0.28499999999999998</v>
      </c>
      <c r="E4" s="60">
        <f t="shared" ref="E4:F4" si="0">E3</f>
        <v>0.36699999999999999</v>
      </c>
      <c r="F4" s="60">
        <f t="shared" si="0"/>
        <v>0.28299999999999997</v>
      </c>
    </row>
    <row r="5" spans="1:6" ht="25.5">
      <c r="A5" s="49"/>
      <c r="B5" s="45" t="s">
        <v>164</v>
      </c>
      <c r="C5" s="38" t="s">
        <v>165</v>
      </c>
      <c r="D5" s="60">
        <f>D3</f>
        <v>0.28499999999999998</v>
      </c>
      <c r="E5" s="60">
        <f t="shared" ref="E5:F5" si="1">E3</f>
        <v>0.36699999999999999</v>
      </c>
      <c r="F5" s="60">
        <f t="shared" si="1"/>
        <v>0.28299999999999997</v>
      </c>
    </row>
    <row r="6" spans="1:6" ht="25.5">
      <c r="A6" s="49"/>
      <c r="B6" s="45" t="s">
        <v>166</v>
      </c>
      <c r="C6" s="38" t="s">
        <v>167</v>
      </c>
      <c r="D6" s="60">
        <f>D3</f>
        <v>0.28499999999999998</v>
      </c>
      <c r="E6" s="60">
        <f t="shared" ref="E6:F6" si="2">E3</f>
        <v>0.36699999999999999</v>
      </c>
      <c r="F6" s="60">
        <f t="shared" si="2"/>
        <v>0.28299999999999997</v>
      </c>
    </row>
    <row r="7" spans="1:6" ht="25.5">
      <c r="A7" s="49"/>
      <c r="B7" s="45" t="s">
        <v>168</v>
      </c>
      <c r="C7" s="38" t="s">
        <v>169</v>
      </c>
      <c r="D7" s="60">
        <f>D3</f>
        <v>0.28499999999999998</v>
      </c>
      <c r="E7" s="60">
        <f t="shared" ref="E7:F7" si="3">E3</f>
        <v>0.36699999999999999</v>
      </c>
      <c r="F7" s="60">
        <f t="shared" si="3"/>
        <v>0.28299999999999997</v>
      </c>
    </row>
    <row r="8" spans="1:6" ht="25.5">
      <c r="A8" s="49"/>
      <c r="B8" s="45" t="s">
        <v>170</v>
      </c>
      <c r="C8" s="38" t="s">
        <v>171</v>
      </c>
      <c r="D8" s="60">
        <f>D3</f>
        <v>0.28499999999999998</v>
      </c>
      <c r="E8" s="60">
        <f t="shared" ref="E8:F8" si="4">E3</f>
        <v>0.36699999999999999</v>
      </c>
      <c r="F8" s="60">
        <f t="shared" si="4"/>
        <v>0.28299999999999997</v>
      </c>
    </row>
    <row r="9" spans="1:6" ht="25.5">
      <c r="A9" s="49"/>
      <c r="B9" s="45" t="s">
        <v>172</v>
      </c>
      <c r="C9" s="38" t="s">
        <v>173</v>
      </c>
      <c r="D9" s="60">
        <f>D3</f>
        <v>0.28499999999999998</v>
      </c>
      <c r="E9" s="60">
        <f t="shared" ref="E9:F9" si="5">E3</f>
        <v>0.36699999999999999</v>
      </c>
      <c r="F9" s="60">
        <f t="shared" si="5"/>
        <v>0.28299999999999997</v>
      </c>
    </row>
    <row r="10" spans="1:6" ht="26.25" thickBot="1">
      <c r="A10" s="50"/>
      <c r="B10" s="51" t="s">
        <v>174</v>
      </c>
      <c r="C10" s="52" t="s">
        <v>175</v>
      </c>
      <c r="D10" s="61">
        <f>D3</f>
        <v>0.28499999999999998</v>
      </c>
      <c r="E10" s="61">
        <f t="shared" ref="E10:F10" si="6">E3</f>
        <v>0.36699999999999999</v>
      </c>
      <c r="F10" s="61">
        <f t="shared" si="6"/>
        <v>0.28299999999999997</v>
      </c>
    </row>
    <row r="11" spans="1:6" ht="26.25">
      <c r="A11" s="53" t="s">
        <v>88</v>
      </c>
      <c r="B11" s="47" t="s">
        <v>176</v>
      </c>
      <c r="C11" s="48" t="s">
        <v>177</v>
      </c>
      <c r="D11" s="59">
        <f>'Rate Summary'!B3</f>
        <v>0.36499999999999999</v>
      </c>
      <c r="E11" s="59">
        <f>'Rate Summary'!B10</f>
        <v>0.35699999999999998</v>
      </c>
      <c r="F11" s="67">
        <f>'Rate Summary'!B17</f>
        <v>0.36199999999999999</v>
      </c>
    </row>
    <row r="12" spans="1:6" ht="25.5">
      <c r="A12" s="49"/>
      <c r="B12" s="45" t="s">
        <v>178</v>
      </c>
      <c r="C12" s="38" t="s">
        <v>179</v>
      </c>
      <c r="D12" s="60">
        <f>D11</f>
        <v>0.36499999999999999</v>
      </c>
      <c r="E12" s="60">
        <f t="shared" ref="E12:F12" si="7">E11</f>
        <v>0.35699999999999998</v>
      </c>
      <c r="F12" s="60">
        <f t="shared" si="7"/>
        <v>0.36199999999999999</v>
      </c>
    </row>
    <row r="13" spans="1:6">
      <c r="A13" s="49"/>
      <c r="B13" s="45" t="s">
        <v>180</v>
      </c>
      <c r="C13" s="38" t="s">
        <v>181</v>
      </c>
      <c r="D13" s="60">
        <f>D11</f>
        <v>0.36499999999999999</v>
      </c>
      <c r="E13" s="60">
        <f t="shared" ref="E13:F13" si="8">E11</f>
        <v>0.35699999999999998</v>
      </c>
      <c r="F13" s="60">
        <f t="shared" si="8"/>
        <v>0.36199999999999999</v>
      </c>
    </row>
    <row r="14" spans="1:6">
      <c r="A14" s="49"/>
      <c r="B14" s="45" t="s">
        <v>182</v>
      </c>
      <c r="C14" s="38" t="s">
        <v>183</v>
      </c>
      <c r="D14" s="60">
        <f>D11</f>
        <v>0.36499999999999999</v>
      </c>
      <c r="E14" s="60">
        <f t="shared" ref="E14:F14" si="9">E11</f>
        <v>0.35699999999999998</v>
      </c>
      <c r="F14" s="60">
        <f t="shared" si="9"/>
        <v>0.36199999999999999</v>
      </c>
    </row>
    <row r="15" spans="1:6" ht="26.25" thickBot="1">
      <c r="A15" s="50"/>
      <c r="B15" s="51" t="s">
        <v>184</v>
      </c>
      <c r="C15" s="52" t="s">
        <v>185</v>
      </c>
      <c r="D15" s="61">
        <f>D11</f>
        <v>0.36499999999999999</v>
      </c>
      <c r="E15" s="61">
        <f t="shared" ref="E15:F15" si="10">E11</f>
        <v>0.35699999999999998</v>
      </c>
      <c r="F15" s="61">
        <f t="shared" si="10"/>
        <v>0.36199999999999999</v>
      </c>
    </row>
    <row r="16" spans="1:6" ht="26.25">
      <c r="A16" s="53" t="s">
        <v>20</v>
      </c>
      <c r="B16" s="47" t="s">
        <v>186</v>
      </c>
      <c r="C16" s="48" t="s">
        <v>187</v>
      </c>
      <c r="D16" s="59">
        <f>'Rate Summary'!B4</f>
        <v>0.156</v>
      </c>
      <c r="E16" s="59">
        <f>'Rate Summary'!B11</f>
        <v>0.157</v>
      </c>
      <c r="F16" s="67">
        <f>'Rate Summary'!B18</f>
        <v>0.158</v>
      </c>
    </row>
    <row r="17" spans="1:6" ht="25.5">
      <c r="A17" s="49"/>
      <c r="B17" s="45" t="s">
        <v>188</v>
      </c>
      <c r="C17" s="38" t="s">
        <v>189</v>
      </c>
      <c r="D17" s="60">
        <f>D16</f>
        <v>0.156</v>
      </c>
      <c r="E17" s="60">
        <f t="shared" ref="E17:F17" si="11">E16</f>
        <v>0.157</v>
      </c>
      <c r="F17" s="60">
        <f t="shared" si="11"/>
        <v>0.158</v>
      </c>
    </row>
    <row r="18" spans="1:6" ht="25.5">
      <c r="A18" s="49"/>
      <c r="B18" s="45" t="s">
        <v>190</v>
      </c>
      <c r="C18" s="38" t="s">
        <v>191</v>
      </c>
      <c r="D18" s="60">
        <f>D16</f>
        <v>0.156</v>
      </c>
      <c r="E18" s="60">
        <f t="shared" ref="E18:F18" si="12">E16</f>
        <v>0.157</v>
      </c>
      <c r="F18" s="60">
        <f t="shared" si="12"/>
        <v>0.158</v>
      </c>
    </row>
    <row r="19" spans="1:6" ht="25.5">
      <c r="A19" s="49"/>
      <c r="B19" s="45" t="s">
        <v>192</v>
      </c>
      <c r="C19" s="38" t="s">
        <v>193</v>
      </c>
      <c r="D19" s="60">
        <f>D16</f>
        <v>0.156</v>
      </c>
      <c r="E19" s="60">
        <f t="shared" ref="E19:F19" si="13">E16</f>
        <v>0.157</v>
      </c>
      <c r="F19" s="60">
        <f t="shared" si="13"/>
        <v>0.158</v>
      </c>
    </row>
    <row r="20" spans="1:6" ht="25.5">
      <c r="A20" s="49"/>
      <c r="B20" s="45" t="s">
        <v>194</v>
      </c>
      <c r="C20" s="38" t="s">
        <v>195</v>
      </c>
      <c r="D20" s="60">
        <f>D16</f>
        <v>0.156</v>
      </c>
      <c r="E20" s="60">
        <f t="shared" ref="E20:F20" si="14">E16</f>
        <v>0.157</v>
      </c>
      <c r="F20" s="60">
        <f t="shared" si="14"/>
        <v>0.158</v>
      </c>
    </row>
    <row r="21" spans="1:6" ht="25.5">
      <c r="A21" s="49"/>
      <c r="B21" s="45" t="s">
        <v>196</v>
      </c>
      <c r="C21" s="38" t="s">
        <v>197</v>
      </c>
      <c r="D21" s="60">
        <f>D16</f>
        <v>0.156</v>
      </c>
      <c r="E21" s="60">
        <f t="shared" ref="E21:F21" si="15">E16</f>
        <v>0.157</v>
      </c>
      <c r="F21" s="60">
        <f t="shared" si="15"/>
        <v>0.158</v>
      </c>
    </row>
    <row r="22" spans="1:6">
      <c r="A22" s="49"/>
      <c r="B22" s="45" t="s">
        <v>198</v>
      </c>
      <c r="C22" s="38" t="s">
        <v>199</v>
      </c>
      <c r="D22" s="60">
        <f>D16</f>
        <v>0.156</v>
      </c>
      <c r="E22" s="60">
        <f t="shared" ref="E22:F22" si="16">E16</f>
        <v>0.157</v>
      </c>
      <c r="F22" s="60">
        <f t="shared" si="16"/>
        <v>0.158</v>
      </c>
    </row>
    <row r="23" spans="1:6">
      <c r="A23" s="49"/>
      <c r="B23" s="45" t="s">
        <v>200</v>
      </c>
      <c r="C23" s="38" t="s">
        <v>201</v>
      </c>
      <c r="D23" s="60">
        <f>D16</f>
        <v>0.156</v>
      </c>
      <c r="E23" s="60">
        <f t="shared" ref="E23:F23" si="17">E16</f>
        <v>0.157</v>
      </c>
      <c r="F23" s="60">
        <f t="shared" si="17"/>
        <v>0.158</v>
      </c>
    </row>
    <row r="24" spans="1:6" ht="25.5">
      <c r="A24" s="49"/>
      <c r="B24" s="45" t="s">
        <v>202</v>
      </c>
      <c r="C24" s="38" t="s">
        <v>203</v>
      </c>
      <c r="D24" s="60">
        <f>D16</f>
        <v>0.156</v>
      </c>
      <c r="E24" s="60">
        <f t="shared" ref="E24:F24" si="18">E16</f>
        <v>0.157</v>
      </c>
      <c r="F24" s="60">
        <f t="shared" si="18"/>
        <v>0.158</v>
      </c>
    </row>
    <row r="25" spans="1:6">
      <c r="A25" s="49"/>
      <c r="B25" s="45" t="s">
        <v>204</v>
      </c>
      <c r="C25" s="38" t="s">
        <v>205</v>
      </c>
      <c r="D25" s="60">
        <f>D16</f>
        <v>0.156</v>
      </c>
      <c r="E25" s="60">
        <f t="shared" ref="E25:F25" si="19">E16</f>
        <v>0.157</v>
      </c>
      <c r="F25" s="60">
        <f t="shared" si="19"/>
        <v>0.158</v>
      </c>
    </row>
    <row r="26" spans="1:6" ht="13.5" thickBot="1">
      <c r="A26" s="50"/>
      <c r="B26" s="51" t="s">
        <v>206</v>
      </c>
      <c r="C26" s="52" t="s">
        <v>207</v>
      </c>
      <c r="D26" s="61">
        <f>D16</f>
        <v>0.156</v>
      </c>
      <c r="E26" s="61">
        <f t="shared" ref="E26:F26" si="20">E16</f>
        <v>0.157</v>
      </c>
      <c r="F26" s="61">
        <f t="shared" si="20"/>
        <v>0.158</v>
      </c>
    </row>
    <row r="27" spans="1:6" ht="15">
      <c r="A27" s="53" t="s">
        <v>22</v>
      </c>
      <c r="B27" s="47" t="s">
        <v>208</v>
      </c>
      <c r="C27" s="48" t="s">
        <v>209</v>
      </c>
      <c r="D27" s="59">
        <f>'Rate Summary'!B5</f>
        <v>3.0000000000000001E-3</v>
      </c>
      <c r="E27" s="59">
        <f>'Rate Summary'!B12</f>
        <v>5.0000000000000001E-3</v>
      </c>
      <c r="F27" s="67">
        <f>'Rate Summary'!B19</f>
        <v>0.14599999999999999</v>
      </c>
    </row>
    <row r="28" spans="1:6" ht="25.5">
      <c r="A28" s="49"/>
      <c r="B28" s="45" t="s">
        <v>210</v>
      </c>
      <c r="C28" s="38" t="s">
        <v>211</v>
      </c>
      <c r="D28" s="60">
        <f>D27</f>
        <v>3.0000000000000001E-3</v>
      </c>
      <c r="E28" s="60">
        <f t="shared" ref="E28:F28" si="21">E27</f>
        <v>5.0000000000000001E-3</v>
      </c>
      <c r="F28" s="60">
        <f t="shared" si="21"/>
        <v>0.14599999999999999</v>
      </c>
    </row>
    <row r="29" spans="1:6">
      <c r="A29" s="49"/>
      <c r="B29" s="45" t="s">
        <v>212</v>
      </c>
      <c r="C29" s="38" t="s">
        <v>213</v>
      </c>
      <c r="D29" s="60">
        <f>D27</f>
        <v>3.0000000000000001E-3</v>
      </c>
      <c r="E29" s="60">
        <f t="shared" ref="E29:F29" si="22">E27</f>
        <v>5.0000000000000001E-3</v>
      </c>
      <c r="F29" s="60">
        <f t="shared" si="22"/>
        <v>0.14599999999999999</v>
      </c>
    </row>
    <row r="30" spans="1:6">
      <c r="A30" s="49"/>
      <c r="B30" s="45" t="s">
        <v>214</v>
      </c>
      <c r="C30" s="38" t="s">
        <v>215</v>
      </c>
      <c r="D30" s="60">
        <f>D27</f>
        <v>3.0000000000000001E-3</v>
      </c>
      <c r="E30" s="60">
        <f t="shared" ref="E30:F30" si="23">E27</f>
        <v>5.0000000000000001E-3</v>
      </c>
      <c r="F30" s="60">
        <f t="shared" si="23"/>
        <v>0.14599999999999999</v>
      </c>
    </row>
    <row r="31" spans="1:6">
      <c r="A31" s="49"/>
      <c r="B31" s="45" t="s">
        <v>216</v>
      </c>
      <c r="C31" s="38" t="s">
        <v>217</v>
      </c>
      <c r="D31" s="60">
        <f>D27</f>
        <v>3.0000000000000001E-3</v>
      </c>
      <c r="E31" s="60">
        <f t="shared" ref="E31:F31" si="24">E27</f>
        <v>5.0000000000000001E-3</v>
      </c>
      <c r="F31" s="60">
        <f t="shared" si="24"/>
        <v>0.14599999999999999</v>
      </c>
    </row>
    <row r="32" spans="1:6" ht="26.25" thickBot="1">
      <c r="A32" s="50"/>
      <c r="B32" s="51" t="s">
        <v>218</v>
      </c>
      <c r="C32" s="52" t="s">
        <v>219</v>
      </c>
      <c r="D32" s="61">
        <f>D27</f>
        <v>3.0000000000000001E-3</v>
      </c>
      <c r="E32" s="61">
        <f t="shared" ref="E32:F32" si="25">E27</f>
        <v>5.0000000000000001E-3</v>
      </c>
      <c r="F32" s="61">
        <f t="shared" si="25"/>
        <v>0.14599999999999999</v>
      </c>
    </row>
    <row r="33" spans="1:6">
      <c r="A33" s="46" t="s">
        <v>26</v>
      </c>
      <c r="B33" s="47" t="s">
        <v>220</v>
      </c>
      <c r="C33" s="48" t="s">
        <v>221</v>
      </c>
      <c r="D33" s="59">
        <f>'Rate Summary'!B6</f>
        <v>0.126</v>
      </c>
      <c r="E33" s="59">
        <f>'Rate Summary'!B13</f>
        <v>0.128</v>
      </c>
      <c r="F33" s="67">
        <f>F27</f>
        <v>0.14599999999999999</v>
      </c>
    </row>
    <row r="34" spans="1:6">
      <c r="A34" s="49"/>
      <c r="B34" s="45" t="s">
        <v>222</v>
      </c>
      <c r="C34" s="38" t="s">
        <v>223</v>
      </c>
      <c r="D34" s="60">
        <f>D33</f>
        <v>0.126</v>
      </c>
      <c r="E34" s="60">
        <f>E33</f>
        <v>0.128</v>
      </c>
      <c r="F34" s="68">
        <f>F27</f>
        <v>0.14599999999999999</v>
      </c>
    </row>
    <row r="35" spans="1:6">
      <c r="A35" s="49"/>
      <c r="B35" s="45" t="s">
        <v>224</v>
      </c>
      <c r="C35" s="38" t="s">
        <v>225</v>
      </c>
      <c r="D35" s="60">
        <f>D33</f>
        <v>0.126</v>
      </c>
      <c r="E35" s="60">
        <f>E33</f>
        <v>0.128</v>
      </c>
      <c r="F35" s="68">
        <f>F27</f>
        <v>0.14599999999999999</v>
      </c>
    </row>
    <row r="36" spans="1:6" ht="13.5" thickBot="1">
      <c r="A36" s="50"/>
      <c r="B36" s="51" t="s">
        <v>226</v>
      </c>
      <c r="C36" s="52" t="s">
        <v>227</v>
      </c>
      <c r="D36" s="61">
        <f>D33</f>
        <v>0.126</v>
      </c>
      <c r="E36" s="61">
        <f>E33</f>
        <v>0.128</v>
      </c>
      <c r="F36" s="69">
        <f>F27</f>
        <v>0.14599999999999999</v>
      </c>
    </row>
    <row r="37" spans="1:6" ht="25.5">
      <c r="A37" s="46" t="s">
        <v>228</v>
      </c>
      <c r="B37" s="47" t="s">
        <v>229</v>
      </c>
      <c r="C37" s="48" t="s">
        <v>230</v>
      </c>
      <c r="D37" s="59">
        <f>'Rate Summary'!B28</f>
        <v>0.18</v>
      </c>
      <c r="E37" s="59">
        <f>D37</f>
        <v>0.18</v>
      </c>
      <c r="F37" s="67">
        <f>F16</f>
        <v>0.158</v>
      </c>
    </row>
    <row r="38" spans="1:6" ht="26.25" thickBot="1">
      <c r="A38" s="50"/>
      <c r="B38" s="51" t="s">
        <v>231</v>
      </c>
      <c r="C38" s="52" t="s">
        <v>232</v>
      </c>
      <c r="D38" s="61">
        <f>D37</f>
        <v>0.18</v>
      </c>
      <c r="E38" s="61">
        <f>D37</f>
        <v>0.18</v>
      </c>
      <c r="F38" s="69">
        <f>F16</f>
        <v>0.158</v>
      </c>
    </row>
    <row r="39" spans="1:6">
      <c r="A39" s="46" t="s">
        <v>233</v>
      </c>
      <c r="B39" s="47" t="s">
        <v>234</v>
      </c>
      <c r="C39" s="48" t="s">
        <v>235</v>
      </c>
      <c r="D39" s="59">
        <f>'Rate Summary'!B24</f>
        <v>0.188</v>
      </c>
      <c r="E39" s="59">
        <f>D39</f>
        <v>0.188</v>
      </c>
      <c r="F39" s="67">
        <f>F16</f>
        <v>0.158</v>
      </c>
    </row>
    <row r="40" spans="1:6">
      <c r="A40" s="49"/>
      <c r="B40" s="45" t="s">
        <v>236</v>
      </c>
      <c r="C40" s="38" t="s">
        <v>237</v>
      </c>
      <c r="D40" s="60">
        <f>D39</f>
        <v>0.188</v>
      </c>
      <c r="E40" s="60">
        <f>D39</f>
        <v>0.188</v>
      </c>
      <c r="F40" s="68">
        <f>F16</f>
        <v>0.158</v>
      </c>
    </row>
    <row r="41" spans="1:6" ht="26.25" thickBot="1">
      <c r="A41" s="50"/>
      <c r="B41" s="51" t="s">
        <v>238</v>
      </c>
      <c r="C41" s="52" t="s">
        <v>239</v>
      </c>
      <c r="D41" s="61">
        <f>D39</f>
        <v>0.188</v>
      </c>
      <c r="E41" s="61">
        <f>D39</f>
        <v>0.188</v>
      </c>
      <c r="F41" s="69">
        <f>F16</f>
        <v>0.158</v>
      </c>
    </row>
    <row r="42" spans="1:6" ht="15.75" thickBot="1">
      <c r="A42" s="54" t="s">
        <v>240</v>
      </c>
      <c r="B42" s="55" t="s">
        <v>241</v>
      </c>
      <c r="C42" s="56" t="s">
        <v>242</v>
      </c>
      <c r="D42" s="62">
        <f>'Rate Summary'!B22</f>
        <v>0.14799999999999999</v>
      </c>
      <c r="E42" s="62">
        <f>D42</f>
        <v>0.14799999999999999</v>
      </c>
      <c r="F42" s="70">
        <f>F16</f>
        <v>0.158</v>
      </c>
    </row>
    <row r="43" spans="1:6" ht="13.5" thickBot="1">
      <c r="A43" s="57" t="s">
        <v>243</v>
      </c>
      <c r="B43" s="55" t="s">
        <v>244</v>
      </c>
      <c r="C43" s="56" t="s">
        <v>245</v>
      </c>
      <c r="D43" s="62">
        <f>'Rate Summary'!B23</f>
        <v>0.19800000000000001</v>
      </c>
      <c r="E43" s="62">
        <f t="shared" ref="E43:E44" si="26">D43</f>
        <v>0.19800000000000001</v>
      </c>
      <c r="F43" s="70">
        <f>F16</f>
        <v>0.158</v>
      </c>
    </row>
    <row r="44" spans="1:6" ht="13.5" thickBot="1">
      <c r="A44" s="57" t="s">
        <v>246</v>
      </c>
      <c r="B44" s="55" t="s">
        <v>247</v>
      </c>
      <c r="C44" s="56" t="s">
        <v>248</v>
      </c>
      <c r="D44" s="62">
        <f>'Rate Summary'!B25</f>
        <v>0.24199999999999999</v>
      </c>
      <c r="E44" s="62">
        <f t="shared" si="26"/>
        <v>0.24199999999999999</v>
      </c>
      <c r="F44" s="70">
        <f>F16</f>
        <v>0.158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7014075D1DA244930E5B7E5AF8C775" ma:contentTypeVersion="12" ma:contentTypeDescription="Create a new document." ma:contentTypeScope="" ma:versionID="c9e06435305ede9cb612dbbd9f7e26fc">
  <xsd:schema xmlns:xsd="http://www.w3.org/2001/XMLSchema" xmlns:xs="http://www.w3.org/2001/XMLSchema" xmlns:p="http://schemas.microsoft.com/office/2006/metadata/properties" xmlns:ns2="f4e69349-468d-450d-a17f-15f564edf12b" xmlns:ns3="14a0509d-f569-4dc7-9874-623a44436425" targetNamespace="http://schemas.microsoft.com/office/2006/metadata/properties" ma:root="true" ma:fieldsID="51d46dfbaad7c09ff4a823f40bab1734" ns2:_="" ns3:_="">
    <xsd:import namespace="f4e69349-468d-450d-a17f-15f564edf12b"/>
    <xsd:import namespace="14a0509d-f569-4dc7-9874-623a444364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69349-468d-450d-a17f-15f564edf1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0509d-f569-4dc7-9874-623a444364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a0509d-f569-4dc7-9874-623a44436425">
      <UserInfo>
        <DisplayName/>
        <AccountId xsi:nil="true"/>
        <AccountType/>
      </UserInfo>
    </SharedWithUsers>
    <MediaLengthInSeconds xmlns="f4e69349-468d-450d-a17f-15f564edf1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D23DE7-2E2B-4684-92E6-224404948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69349-468d-450d-a17f-15f564edf12b"/>
    <ds:schemaRef ds:uri="14a0509d-f569-4dc7-9874-623a444364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0780EE-DACE-401C-8B8F-6CEF55369789}">
  <ds:schemaRefs>
    <ds:schemaRef ds:uri="http://schemas.microsoft.com/office/2006/metadata/properties"/>
    <ds:schemaRef ds:uri="http://schemas.microsoft.com/office/infopath/2007/PartnerControls"/>
    <ds:schemaRef ds:uri="14a0509d-f569-4dc7-9874-623a44436425"/>
    <ds:schemaRef ds:uri="f4e69349-468d-450d-a17f-15f564edf12b"/>
  </ds:schemaRefs>
</ds:datastoreItem>
</file>

<file path=customXml/itemProps3.xml><?xml version="1.0" encoding="utf-8"?>
<ds:datastoreItem xmlns:ds="http://schemas.openxmlformats.org/officeDocument/2006/customXml" ds:itemID="{DF440C95-F31C-4B22-8E3E-39BB105F2F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Rate Summary</vt:lpstr>
      <vt:lpstr>Components UNIV HS &amp; FGP</vt:lpstr>
      <vt:lpstr>Distribution Univ HS &amp; FGP</vt:lpstr>
      <vt:lpstr>Components OSP</vt:lpstr>
      <vt:lpstr>Distribution OSP</vt:lpstr>
      <vt:lpstr>fy26_summary_bnft_projection</vt:lpstr>
      <vt:lpstr>Rate by Spend 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Gast, Kenneth C.</dc:creator>
  <cp:lastModifiedBy>Brown, Karina</cp:lastModifiedBy>
  <dcterms:created xsi:type="dcterms:W3CDTF">2021-06-15T18:43:33Z</dcterms:created>
  <dcterms:modified xsi:type="dcterms:W3CDTF">2025-05-13T14:40:55Z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413000</vt:r8>
  </property>
  <property fmtid="{D5CDD505-2E9C-101B-9397-08002B2CF9AE}" pid="3" name="ContentTypeId">
    <vt:lpwstr>0x010100127014075D1DA244930E5B7E5AF8C775</vt:lpwstr>
  </property>
  <property fmtid="{D5CDD505-2E9C-101B-9397-08002B2CF9AE}" pid="4" name="ComplianceAssetId">
    <vt:lpwstr/>
  </property>
  <property fmtid="{D5CDD505-2E9C-101B-9397-08002B2CF9AE}" pid="5" name="_ExtendedDescription">
    <vt:lpwstr/>
  </property>
</Properties>
</file>