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BF\BF-Admin\Communications\B&amp;F\B&amp;F websites\FP&amp;A\"/>
    </mc:Choice>
  </mc:AlternateContent>
  <xr:revisionPtr revIDLastSave="0" documentId="8_{82712CCF-7D37-4F32-8BC2-39B5E41B3FF9}" xr6:coauthVersionLast="47" xr6:coauthVersionMax="47" xr10:uidLastSave="{00000000-0000-0000-0000-000000000000}"/>
  <bookViews>
    <workbookView xWindow="-120" yWindow="-120" windowWidth="29040" windowHeight="15720" tabRatio="917" xr2:uid="{6F591DE1-7792-425B-A9AE-48BDC8E42C00}"/>
  </bookViews>
  <sheets>
    <sheet name="Rate Summary" sheetId="2" r:id="rId1"/>
    <sheet name="Components UNIV HS &amp; FGP" sheetId="3" r:id="rId2"/>
    <sheet name="Distribution Univ HS &amp; FGP" sheetId="4" r:id="rId3"/>
    <sheet name="Components OSP" sheetId="5" r:id="rId4"/>
    <sheet name="Distribution OSP" sheetId="6" r:id="rId5"/>
    <sheet name="fy27_summary_bnft_projection" sheetId="1" r:id="rId6"/>
    <sheet name="Rate by Spend Cat" sheetId="7" r:id="rId7"/>
  </sheets>
  <definedNames>
    <definedName name="\A">"#REF!"</definedName>
    <definedName name="\B">"#REF!"</definedName>
    <definedName name="\C">"#REF!"</definedName>
    <definedName name="\D">#REF!</definedName>
    <definedName name="\E">"#REF!"</definedName>
    <definedName name="\P">#REF!</definedName>
    <definedName name="\S">#REF!</definedName>
    <definedName name="___xlnm.Print_Titles_2" localSheetId="5">(#REF!,#REF!)</definedName>
    <definedName name="___xlnm.Print_Titles_2">(#REF!,#REF!)</definedName>
    <definedName name="___xlnm.Print_Titles_5">#N/A</definedName>
    <definedName name="__inc11">#REF!</definedName>
    <definedName name="__xlnm.Print_Titles_2" localSheetId="5">(#REF!,#REF!)</definedName>
    <definedName name="__xlnm.Print_Titles_2">(#REF!,#REF!)</definedName>
    <definedName name="__xlnm.Print_Titles_5">#N/A</definedName>
    <definedName name="_END1">#REF!</definedName>
    <definedName name="_xlnm._FilterDatabase" localSheetId="4" hidden="1">'Distribution OSP'!$A$5:$K$23</definedName>
    <definedName name="_xlnm._FilterDatabase" localSheetId="2" hidden="1">'Distribution Univ HS &amp; FGP'!$A$4:$U$25</definedName>
    <definedName name="_inc11">#REF!</definedName>
    <definedName name="_Order1" hidden="1">255</definedName>
    <definedName name="_Sort" hidden="1">#REF!</definedName>
    <definedName name="A">#REF!</definedName>
    <definedName name="AS2DocOpenMode" hidden="1">"AS2DocumentEdit"</definedName>
    <definedName name="AS2HasNoAutoHeaderFooter">"OFF"</definedName>
    <definedName name="cy_share_equity">#REF!</definedName>
    <definedName name="data" localSheetId="5" hidden="1">#REF!</definedName>
    <definedName name="data" hidden="1">#REF!</definedName>
    <definedName name="DATA_03" localSheetId="5" hidden="1">#REF!</definedName>
    <definedName name="DATA_03" hidden="1">#REF!</definedName>
    <definedName name="DATA_04" localSheetId="5" hidden="1">#REF!</definedName>
    <definedName name="DATA_04" hidden="1">#REF!</definedName>
    <definedName name="DATA_05" localSheetId="5" hidden="1">#REF!</definedName>
    <definedName name="DATA_05" hidden="1">#REF!</definedName>
    <definedName name="DATA_06" localSheetId="5" hidden="1">#REF!</definedName>
    <definedName name="DATA_06" hidden="1">#REF!</definedName>
    <definedName name="DATA_07" localSheetId="5" hidden="1">#REF!</definedName>
    <definedName name="DATA_07" hidden="1">#REF!</definedName>
    <definedName name="DATA_08" localSheetId="5" hidden="1">#REF!</definedName>
    <definedName name="DATA_08" hidden="1">#REF!</definedName>
    <definedName name="END" localSheetId="5">#REF!</definedName>
    <definedName name="END">#REF!</definedName>
    <definedName name="End_Bal" localSheetId="5">#REF!</definedName>
    <definedName name="End_Bal">#REF!</definedName>
    <definedName name="endow" localSheetId="5">#REF!</definedName>
    <definedName name="endow">#REF!</definedName>
    <definedName name="Header_Row" localSheetId="5">ROW(#REF!)</definedName>
    <definedName name="Header_Row">ROW(#REF!)</definedName>
    <definedName name="Interest_Rate" localSheetId="5">#REF!</definedName>
    <definedName name="Interest_Rate">#REF!</definedName>
    <definedName name="IntroPrintArea" hidden="1">#REF!</definedName>
    <definedName name="Last_Row" localSheetId="5">IF(fy27_summary_bnft_projection!Values_Entered,fy27_summary_bnft_projection!Header_Row+fy27_summary_bnft_projection!Number_of_Payments,fy27_summary_bnft_projection!Header_Row)</definedName>
    <definedName name="Last_Row" localSheetId="6">IF('Rate by Spend Cat'!Values_Entered,Header_Row+'Rate by Spend Cat'!Number_of_Payments,Header_Row)</definedName>
    <definedName name="Last_Row" localSheetId="0">IF('Rate Summary'!Values_Entered,Header_Row+'Rate Summary'!Number_of_Payments,Header_Row)</definedName>
    <definedName name="Last_Row">IF(Values_Entered,Header_Row+Number_of_Payments,Header_Row)</definedName>
    <definedName name="LIST">#REF!</definedName>
    <definedName name="Loan_Amount" localSheetId="5">#REF!</definedName>
    <definedName name="Loan_Amount">#REF!</definedName>
    <definedName name="Loan_Start" localSheetId="5">#REF!</definedName>
    <definedName name="Loan_Start">#REF!</definedName>
    <definedName name="Loan_Years" localSheetId="5">#REF!</definedName>
    <definedName name="Loan_Years">#REF!</definedName>
    <definedName name="Number_of_Payments" localSheetId="5">MATCH(0.01,fy27_summary_bnft_projection!End_Bal,-1)+1</definedName>
    <definedName name="Number_of_Payments" localSheetId="6">MATCH(0.01,End_Bal,-1)+1</definedName>
    <definedName name="Number_of_Payments" localSheetId="0">MATCH(0.01,End_Bal,-1)+1</definedName>
    <definedName name="Number_of_Payments">MATCH(0.01,End_Bal,-1)+1</definedName>
    <definedName name="paidint">#REF!</definedName>
    <definedName name="py_retained_earnings" localSheetId="5">#REF!</definedName>
    <definedName name="py_retained_earnings">#REF!</definedName>
    <definedName name="py_share_equity">#REF!</definedName>
    <definedName name="report">#REF!</definedName>
    <definedName name="reportwithsignatures">#REF!</definedName>
    <definedName name="TextRefCopyRangeCount" hidden="1">2</definedName>
    <definedName name="total" localSheetId="5">#REF!</definedName>
    <definedName name="total">#REF!</definedName>
    <definedName name="total_inv" localSheetId="5">#REF!</definedName>
    <definedName name="total_inv">#REF!</definedName>
    <definedName name="Values_Entered" localSheetId="5">IF(fy27_summary_bnft_projection!Loan_Amount*fy27_summary_bnft_projection!Interest_Rate*fy27_summary_bnft_projection!Loan_Years*fy27_summary_bnft_projection!Loan_Start&gt;0,1,0)</definedName>
    <definedName name="Values_Entered" localSheetId="6">IF(Loan_Amount*Interest_Rate*Loan_Years*Loan_Start&gt;0,1,0)</definedName>
    <definedName name="Values_Entered" localSheetId="0">IF(Loan_Amount*Interest_Rate*Loan_Years*Loan_Start&gt;0,1,0)</definedName>
    <definedName name="Values_Entered">IF(Loan_Amount*Interest_Rate*Loan_Years*Loan_Start&gt;0,1,0)</definedName>
    <definedName name="XREF_COLUMN_1" localSheetId="5" hidden="1">#REF!</definedName>
    <definedName name="XREF_COLUMN_1" hidden="1">#REF!</definedName>
    <definedName name="XREF_COLUMN_2" localSheetId="5" hidden="1">#REF!</definedName>
    <definedName name="XREF_COLUMN_2" hidden="1">#REF!</definedName>
    <definedName name="XREF_COLUMN_3" localSheetId="5" hidden="1">#REF!</definedName>
    <definedName name="XREF_COLUMN_3" hidden="1">#REF!</definedName>
    <definedName name="XREF_COLUMN_4" localSheetId="5" hidden="1">#REF!</definedName>
    <definedName name="XREF_COLUMN_4" hidden="1">#REF!</definedName>
    <definedName name="XREF_COLUMN_6" localSheetId="5" hidden="1">#REF!</definedName>
    <definedName name="XREF_COLUMN_6" hidden="1">#REF!</definedName>
    <definedName name="XREF_COLUMN_7" localSheetId="5" hidden="1">#REF!</definedName>
    <definedName name="XREF_COLUMN_7" hidden="1">#REF!</definedName>
    <definedName name="XREF_COLUMN_9" hidden="1">#REF!</definedName>
    <definedName name="XRefActiveRow" hidden="1">#REF!</definedName>
    <definedName name="XRefColumnsCount" hidden="1">9</definedName>
    <definedName name="XRefCopy1" localSheetId="5" hidden="1">#REF!</definedName>
    <definedName name="XRefCopy1" hidden="1">#REF!</definedName>
    <definedName name="XRefCopy10" localSheetId="5" hidden="1">#REF!</definedName>
    <definedName name="XRefCopy10" hidden="1">#REF!</definedName>
    <definedName name="XRefCopy10Row" hidden="1">#REF!</definedName>
    <definedName name="XRefCopy11" localSheetId="5" hidden="1">#REF!</definedName>
    <definedName name="XRefCopy11" hidden="1">#REF!</definedName>
    <definedName name="XRefCopy11Row" hidden="1">#REF!</definedName>
    <definedName name="XRefCopy12" localSheetId="5" hidden="1">#REF!</definedName>
    <definedName name="XRefCopy12" hidden="1">#REF!</definedName>
    <definedName name="XRefCopy12Row" hidden="1">#REF!</definedName>
    <definedName name="XRefCopy13" localSheetId="5" hidden="1">#REF!</definedName>
    <definedName name="XRefCopy13" hidden="1">#REF!</definedName>
    <definedName name="XRefCopy13Row" hidden="1">#REF!</definedName>
    <definedName name="XRefCopy14" localSheetId="5" hidden="1">#REF!</definedName>
    <definedName name="XRefCopy14" hidden="1">#REF!</definedName>
    <definedName name="XRefCopy14Row" hidden="1">#REF!</definedName>
    <definedName name="XRefCopy15" localSheetId="5" hidden="1">#REF!</definedName>
    <definedName name="XRefCopy15" hidden="1">#REF!</definedName>
    <definedName name="XRefCopy15Row" hidden="1">#REF!</definedName>
    <definedName name="XRefCopy16" localSheetId="5" hidden="1">#REF!</definedName>
    <definedName name="XRefCopy16" hidden="1">#REF!</definedName>
    <definedName name="XRefCopy16Row" hidden="1">#REF!</definedName>
    <definedName name="XRefCopy17" localSheetId="5" hidden="1">#REF!</definedName>
    <definedName name="XRefCopy17" hidden="1">#REF!</definedName>
    <definedName name="XRefCopy17Row" hidden="1">#REF!</definedName>
    <definedName name="XRefCopy18" localSheetId="5" hidden="1">#REF!</definedName>
    <definedName name="XRefCopy18" hidden="1">#REF!</definedName>
    <definedName name="XRefCopy18Row" hidden="1">#REF!</definedName>
    <definedName name="XRefCopy19" localSheetId="5" hidden="1">#REF!</definedName>
    <definedName name="XRefCopy19" hidden="1">#REF!</definedName>
    <definedName name="XRefCopy19Row" hidden="1">#REF!</definedName>
    <definedName name="XRefCopy1Row" hidden="1">#REF!</definedName>
    <definedName name="XRefCopy2" localSheetId="5" hidden="1">#REF!</definedName>
    <definedName name="XRefCopy2" hidden="1">#REF!</definedName>
    <definedName name="XRefCopy20" localSheetId="5" hidden="1">#REF!</definedName>
    <definedName name="XRefCopy20" hidden="1">#REF!</definedName>
    <definedName name="XRefCopy20Row" hidden="1">#REF!</definedName>
    <definedName name="XRefCopy21" localSheetId="5" hidden="1">#REF!</definedName>
    <definedName name="XRefCopy21" hidden="1">#REF!</definedName>
    <definedName name="XRefCopy21Row" hidden="1">#REF!</definedName>
    <definedName name="XRefCopy22" localSheetId="5" hidden="1">#REF!</definedName>
    <definedName name="XRefCopy22" hidden="1">#REF!</definedName>
    <definedName name="XRefCopy22Row" hidden="1">#REF!</definedName>
    <definedName name="XRefCopy23" localSheetId="5" hidden="1">#REF!</definedName>
    <definedName name="XRefCopy23" hidden="1">#REF!</definedName>
    <definedName name="XRefCopy23Row" hidden="1">#REF!</definedName>
    <definedName name="XRefCopy24" localSheetId="5" hidden="1">#REF!</definedName>
    <definedName name="XRefCopy24" hidden="1">#REF!</definedName>
    <definedName name="XRefCopy24Row" hidden="1">#REF!</definedName>
    <definedName name="XRefCopy25" localSheetId="5" hidden="1">#REF!</definedName>
    <definedName name="XRefCopy25" hidden="1">#REF!</definedName>
    <definedName name="XRefCopy25Row" hidden="1">#REF!</definedName>
    <definedName name="XRefCopy26" localSheetId="5" hidden="1">#REF!</definedName>
    <definedName name="XRefCopy26" hidden="1">#REF!</definedName>
    <definedName name="XRefCopy26Row" hidden="1">#REF!</definedName>
    <definedName name="XRefCopy27" localSheetId="5" hidden="1">#REF!</definedName>
    <definedName name="XRefCopy27" hidden="1">#REF!</definedName>
    <definedName name="XRefCopy27Row" hidden="1">#REF!</definedName>
    <definedName name="XRefCopy28" localSheetId="5" hidden="1">#REF!</definedName>
    <definedName name="XRefCopy28" hidden="1">#REF!</definedName>
    <definedName name="XRefCopy28Row" hidden="1">#REF!</definedName>
    <definedName name="XRefCopy29" localSheetId="5" hidden="1">#REF!</definedName>
    <definedName name="XRefCopy29" hidden="1">#REF!</definedName>
    <definedName name="XRefCopy29Row" hidden="1">#REF!</definedName>
    <definedName name="XRefCopy2Row" hidden="1">#REF!</definedName>
    <definedName name="XRefCopy3" localSheetId="5" hidden="1">#REF!</definedName>
    <definedName name="XRefCopy3" hidden="1">#REF!</definedName>
    <definedName name="XRefCopy30" localSheetId="5" hidden="1">#REF!</definedName>
    <definedName name="XRefCopy30" hidden="1">#REF!</definedName>
    <definedName name="XRefCopy30Row" hidden="1">#REF!</definedName>
    <definedName name="XRefCopy31" localSheetId="5" hidden="1">#REF!</definedName>
    <definedName name="XRefCopy31" hidden="1">#REF!</definedName>
    <definedName name="XRefCopy31Row" hidden="1">#REF!</definedName>
    <definedName name="XRefCopy32" localSheetId="5" hidden="1">#REF!</definedName>
    <definedName name="XRefCopy32" hidden="1">#REF!</definedName>
    <definedName name="XRefCopy32Row" hidden="1">#REF!</definedName>
    <definedName name="XRefCopy33Row" hidden="1">#REF!</definedName>
    <definedName name="XRefCopy34Row" hidden="1">#REF!</definedName>
    <definedName name="XRefCopy35Row" hidden="1">#REF!</definedName>
    <definedName name="XRefCopy36Row" hidden="1">#REF!</definedName>
    <definedName name="XRefCopy3Row" hidden="1">#REF!</definedName>
    <definedName name="XRefCopy4" localSheetId="5" hidden="1">#REF!</definedName>
    <definedName name="XRefCopy4" hidden="1">#REF!</definedName>
    <definedName name="XRefCopy40Row" hidden="1">#REF!</definedName>
    <definedName name="XRefCopy43Row" hidden="1">#REF!</definedName>
    <definedName name="XRefCopy45Row" hidden="1">#REF!</definedName>
    <definedName name="XRefCopy47Row" hidden="1">#REF!</definedName>
    <definedName name="XRefCopy48Row" hidden="1">#REF!</definedName>
    <definedName name="XRefCopy49Row" hidden="1">#REF!</definedName>
    <definedName name="XRefCopy4Row" hidden="1">#REF!</definedName>
    <definedName name="XRefCopy5" localSheetId="5" hidden="1">#REF!</definedName>
    <definedName name="XRefCopy5" hidden="1">#REF!</definedName>
    <definedName name="XRefCopy5Row" hidden="1">#REF!</definedName>
    <definedName name="XRefCopy6" localSheetId="5" hidden="1">#REF!</definedName>
    <definedName name="XRefCopy6" hidden="1">#REF!</definedName>
    <definedName name="XRefCopy6Row" hidden="1">#REF!</definedName>
    <definedName name="XRefCopy7" localSheetId="5" hidden="1">#REF!</definedName>
    <definedName name="XRefCopy7" hidden="1">#REF!</definedName>
    <definedName name="XRefCopy7Row" hidden="1">#REF!</definedName>
    <definedName name="XRefCopy8" localSheetId="5" hidden="1">#REF!</definedName>
    <definedName name="XRefCopy8" hidden="1">#REF!</definedName>
    <definedName name="XRefCopy8Row" hidden="1">#REF!</definedName>
    <definedName name="XRefCopy9" localSheetId="5" hidden="1">#REF!</definedName>
    <definedName name="XRefCopy9" hidden="1">#REF!</definedName>
    <definedName name="XRefCopy9Row" hidden="1">#REF!</definedName>
    <definedName name="XRefCopyRangeCount" hidden="1">50</definedName>
    <definedName name="XRefPaste1" localSheetId="5" hidden="1">#REF!</definedName>
    <definedName name="XRefPaste1" hidden="1">#REF!</definedName>
    <definedName name="XRefPaste10" localSheetId="5" hidden="1">#REF!</definedName>
    <definedName name="XRefPaste10" hidden="1">#REF!</definedName>
    <definedName name="XRefPaste10Row" hidden="1">#REF!</definedName>
    <definedName name="XRefPaste11" localSheetId="5" hidden="1">#REF!</definedName>
    <definedName name="XRefPaste11" hidden="1">#REF!</definedName>
    <definedName name="XRefPaste11Row" hidden="1">#REF!</definedName>
    <definedName name="XRefPaste12" localSheetId="5" hidden="1">#REF!</definedName>
    <definedName name="XRefPaste12" hidden="1">#REF!</definedName>
    <definedName name="XRefPaste12Row" hidden="1">#REF!</definedName>
    <definedName name="XRefPaste13" localSheetId="5" hidden="1">#REF!</definedName>
    <definedName name="XRefPaste13" hidden="1">#REF!</definedName>
    <definedName name="XRefPaste13Row" hidden="1">#REF!</definedName>
    <definedName name="XRefPaste14" localSheetId="5" hidden="1">#REF!</definedName>
    <definedName name="XRefPaste14" hidden="1">#REF!</definedName>
    <definedName name="XRefPaste14Row" hidden="1">#REF!</definedName>
    <definedName name="XRefPaste15" localSheetId="5" hidden="1">#REF!</definedName>
    <definedName name="XRefPaste15" hidden="1">#REF!</definedName>
    <definedName name="XRefPaste15Row" hidden="1">#REF!</definedName>
    <definedName name="XRefPaste16" localSheetId="5" hidden="1">#REF!</definedName>
    <definedName name="XRefPaste16" hidden="1">#REF!</definedName>
    <definedName name="XRefPaste16Row" hidden="1">#REF!</definedName>
    <definedName name="XRefPaste17" localSheetId="5" hidden="1">#REF!</definedName>
    <definedName name="XRefPaste17" hidden="1">#REF!</definedName>
    <definedName name="XRefPaste17Row" hidden="1">#REF!</definedName>
    <definedName name="XRefPaste18" localSheetId="5" hidden="1">#REF!</definedName>
    <definedName name="XRefPaste18" hidden="1">#REF!</definedName>
    <definedName name="XRefPaste18Row" hidden="1">#REF!</definedName>
    <definedName name="XRefPaste19" localSheetId="5" hidden="1">#REF!</definedName>
    <definedName name="XRefPaste19" hidden="1">#REF!</definedName>
    <definedName name="XRefPaste19Row" hidden="1">#REF!</definedName>
    <definedName name="XRefPaste1Row" hidden="1">#REF!</definedName>
    <definedName name="XRefPaste2" localSheetId="5" hidden="1">#REF!</definedName>
    <definedName name="XRefPaste2" hidden="1">#REF!</definedName>
    <definedName name="XRefPaste20" localSheetId="5" hidden="1">#REF!</definedName>
    <definedName name="XRefPaste20" hidden="1">#REF!</definedName>
    <definedName name="XRefPaste20Row" hidden="1">#REF!</definedName>
    <definedName name="XRefPaste21" localSheetId="5" hidden="1">#REF!</definedName>
    <definedName name="XRefPaste21" hidden="1">#REF!</definedName>
    <definedName name="XRefPaste21Row" hidden="1">#REF!</definedName>
    <definedName name="XRefPaste22" localSheetId="5" hidden="1">#REF!</definedName>
    <definedName name="XRefPaste22" hidden="1">#REF!</definedName>
    <definedName name="XRefPaste22Row" hidden="1">#REF!</definedName>
    <definedName name="XRefPaste23" localSheetId="5" hidden="1">#REF!</definedName>
    <definedName name="XRefPaste23" hidden="1">#REF!</definedName>
    <definedName name="XRefPaste23Row" hidden="1">#REF!</definedName>
    <definedName name="XRefPaste24" localSheetId="5" hidden="1">#REF!</definedName>
    <definedName name="XRefPaste24" hidden="1">#REF!</definedName>
    <definedName name="XRefPaste24Row" hidden="1">#REF!</definedName>
    <definedName name="XRefPaste25" localSheetId="5" hidden="1">#REF!</definedName>
    <definedName name="XRefPaste25" hidden="1">#REF!</definedName>
    <definedName name="XRefPaste25Row" hidden="1">#REF!</definedName>
    <definedName name="XRefPaste26" localSheetId="5" hidden="1">#REF!</definedName>
    <definedName name="XRefPaste26" hidden="1">#REF!</definedName>
    <definedName name="XRefPaste26Row" hidden="1">#REF!</definedName>
    <definedName name="XRefPaste27" localSheetId="5" hidden="1">#REF!</definedName>
    <definedName name="XRefPaste27" hidden="1">#REF!</definedName>
    <definedName name="XRefPaste27Row" hidden="1">#REF!</definedName>
    <definedName name="XRefPaste28" localSheetId="5" hidden="1">#REF!</definedName>
    <definedName name="XRefPaste28" hidden="1">#REF!</definedName>
    <definedName name="XRefPaste28Row" hidden="1">#REF!</definedName>
    <definedName name="XRefPaste29" localSheetId="5" hidden="1">#REF!</definedName>
    <definedName name="XRefPaste29" hidden="1">#REF!</definedName>
    <definedName name="XRefPaste29Row" hidden="1">#REF!</definedName>
    <definedName name="XRefPaste2Row" hidden="1">#REF!</definedName>
    <definedName name="XRefPaste3" localSheetId="5" hidden="1">#REF!</definedName>
    <definedName name="XRefPaste3" hidden="1">#REF!</definedName>
    <definedName name="XRefPaste30" localSheetId="5" hidden="1">#REF!</definedName>
    <definedName name="XRefPaste30" hidden="1">#REF!</definedName>
    <definedName name="XRefPaste30Row" hidden="1">#REF!</definedName>
    <definedName name="XRefPaste31" localSheetId="5" hidden="1">#REF!</definedName>
    <definedName name="XRefPaste31" hidden="1">#REF!</definedName>
    <definedName name="XRefPaste31Row" hidden="1">#REF!</definedName>
    <definedName name="XRefPaste32" localSheetId="5" hidden="1">#REF!</definedName>
    <definedName name="XRefPaste32" hidden="1">#REF!</definedName>
    <definedName name="XRefPaste32Row" hidden="1">#REF!</definedName>
    <definedName name="XRefPaste33" localSheetId="5" hidden="1">#REF!</definedName>
    <definedName name="XRefPaste33" hidden="1">#REF!</definedName>
    <definedName name="XRefPaste33Row" hidden="1">#REF!</definedName>
    <definedName name="XRefPaste34" localSheetId="5" hidden="1">#REF!</definedName>
    <definedName name="XRefPaste34" hidden="1">#REF!</definedName>
    <definedName name="XRefPaste34Row" hidden="1">#REF!</definedName>
    <definedName name="XRefPaste35" localSheetId="5" hidden="1">#REF!</definedName>
    <definedName name="XRefPaste35" hidden="1">#REF!</definedName>
    <definedName name="XRefPaste35Row" hidden="1">#REF!</definedName>
    <definedName name="XRefPaste36Row" hidden="1">#REF!</definedName>
    <definedName name="XRefPaste37Row" hidden="1">#REF!</definedName>
    <definedName name="XRefPaste38Row" hidden="1">#REF!</definedName>
    <definedName name="XRefPaste39Row" hidden="1">#REF!</definedName>
    <definedName name="XRefPaste3Row" hidden="1">#REF!</definedName>
    <definedName name="XRefPaste4" localSheetId="5" hidden="1">#REF!</definedName>
    <definedName name="XRefPaste4" hidden="1">#REF!</definedName>
    <definedName name="XRefPaste41Row" hidden="1">#REF!</definedName>
    <definedName name="XRefPaste44Row" hidden="1">#REF!</definedName>
    <definedName name="XRefPaste45Row" hidden="1">#REF!</definedName>
    <definedName name="XRefPaste46Row" hidden="1">#REF!</definedName>
    <definedName name="XRefPaste47Row" hidden="1">#REF!</definedName>
    <definedName name="XRefPaste48Row" hidden="1">#REF!</definedName>
    <definedName name="XRefPaste4Row" hidden="1">#REF!</definedName>
    <definedName name="XRefPaste5" localSheetId="5" hidden="1">#REF!</definedName>
    <definedName name="XRefPaste5" hidden="1">#REF!</definedName>
    <definedName name="XRefPaste52Row" hidden="1">#REF!</definedName>
    <definedName name="XRefPaste53Row" hidden="1">#REF!</definedName>
    <definedName name="XRefPaste56Row" hidden="1">#REF!</definedName>
    <definedName name="XRefPaste57Row" hidden="1">#REF!</definedName>
    <definedName name="XRefPaste59Row" hidden="1">#REF!</definedName>
    <definedName name="XRefPaste5Row" hidden="1">#REF!</definedName>
    <definedName name="XRefPaste60" hidden="1">#REF!</definedName>
    <definedName name="XRefPaste60Row" hidden="1">#REF!</definedName>
    <definedName name="XRefPaste61Row" hidden="1">#REF!</definedName>
    <definedName name="XRefPaste62Row" hidden="1">#REF!</definedName>
    <definedName name="XRefPaste63Row" hidden="1">#REF!</definedName>
    <definedName name="XRefPaste7" localSheetId="5" hidden="1">#REF!</definedName>
    <definedName name="XRefPaste7" hidden="1">#REF!</definedName>
    <definedName name="XRefPaste7Row" hidden="1">#REF!</definedName>
    <definedName name="XRefPaste8" localSheetId="5" hidden="1">#REF!</definedName>
    <definedName name="XRefPaste8" hidden="1">#REF!</definedName>
    <definedName name="XRefPaste8Row" hidden="1">#REF!</definedName>
    <definedName name="XRefPaste9" localSheetId="5" hidden="1">#REF!</definedName>
    <definedName name="XRefPaste9" hidden="1">#REF!</definedName>
    <definedName name="XRefPaste9Row" hidden="1">#REF!</definedName>
    <definedName name="XRefPasteRangeCount" hidden="1">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7" l="1"/>
  <c r="E44" i="7" s="1"/>
  <c r="D43" i="7"/>
  <c r="E43" i="7" s="1"/>
  <c r="D42" i="7"/>
  <c r="D39" i="7"/>
  <c r="D37" i="7"/>
  <c r="E37" i="7" s="1"/>
  <c r="E33" i="7"/>
  <c r="E36" i="7" s="1"/>
  <c r="D33" i="7"/>
  <c r="D36" i="7" s="1"/>
  <c r="F27" i="7"/>
  <c r="F35" i="7" s="1"/>
  <c r="E27" i="7"/>
  <c r="E31" i="7" s="1"/>
  <c r="D27" i="7"/>
  <c r="D31" i="7" s="1"/>
  <c r="F16" i="7"/>
  <c r="F19" i="7" s="1"/>
  <c r="E16" i="7"/>
  <c r="E22" i="7" s="1"/>
  <c r="D16" i="7"/>
  <c r="D17" i="7" s="1"/>
  <c r="F11" i="7"/>
  <c r="F14" i="7" s="1"/>
  <c r="E11" i="7"/>
  <c r="E15" i="7" s="1"/>
  <c r="D11" i="7"/>
  <c r="D12" i="7" s="1"/>
  <c r="F3" i="7"/>
  <c r="F7" i="7" s="1"/>
  <c r="E3" i="7"/>
  <c r="D3" i="7"/>
  <c r="E42" i="7"/>
  <c r="E41" i="7"/>
  <c r="D41" i="7"/>
  <c r="E40" i="7"/>
  <c r="D40" i="7"/>
  <c r="F38" i="7"/>
  <c r="F23" i="7"/>
  <c r="D23" i="7"/>
  <c r="D13" i="7"/>
  <c r="E7" i="7"/>
  <c r="D9" i="7"/>
  <c r="G15" i="6"/>
  <c r="E21" i="5"/>
  <c r="D14" i="5"/>
  <c r="C13" i="5"/>
  <c r="C9" i="5" s="1"/>
  <c r="B8" i="5"/>
  <c r="B11" i="5"/>
  <c r="B9" i="5"/>
  <c r="B13" i="5"/>
  <c r="C14" i="5"/>
  <c r="B14" i="5"/>
  <c r="E23" i="5"/>
  <c r="H22" i="6" s="1"/>
  <c r="D23" i="5"/>
  <c r="J14" i="3"/>
  <c r="I13" i="3"/>
  <c r="I11" i="3"/>
  <c r="I14" i="3"/>
  <c r="I20" i="3"/>
  <c r="H8" i="3"/>
  <c r="H13" i="3"/>
  <c r="H11" i="3" s="1"/>
  <c r="H20" i="3"/>
  <c r="P17" i="3"/>
  <c r="O14" i="3"/>
  <c r="F22" i="3"/>
  <c r="D5" i="3"/>
  <c r="D14" i="3"/>
  <c r="C13" i="3"/>
  <c r="C11" i="3" s="1"/>
  <c r="B13" i="3"/>
  <c r="B8" i="3" s="1"/>
  <c r="B20" i="3"/>
  <c r="B17" i="3"/>
  <c r="B14" i="3"/>
  <c r="F40" i="7" l="1"/>
  <c r="F21" i="7"/>
  <c r="F22" i="7"/>
  <c r="E12" i="7"/>
  <c r="D24" i="7"/>
  <c r="F24" i="7"/>
  <c r="E13" i="7"/>
  <c r="F26" i="7"/>
  <c r="F41" i="7"/>
  <c r="E14" i="7"/>
  <c r="D30" i="7"/>
  <c r="F42" i="7"/>
  <c r="F44" i="7"/>
  <c r="D35" i="7"/>
  <c r="F43" i="7"/>
  <c r="F17" i="7"/>
  <c r="E35" i="7"/>
  <c r="D18" i="7"/>
  <c r="F18" i="7"/>
  <c r="F20" i="7"/>
  <c r="F37" i="7"/>
  <c r="F31" i="7"/>
  <c r="F36" i="7"/>
  <c r="F30" i="7"/>
  <c r="E29" i="7"/>
  <c r="E21" i="7"/>
  <c r="E23" i="7"/>
  <c r="E17" i="7"/>
  <c r="E24" i="7"/>
  <c r="E18" i="7"/>
  <c r="E25" i="7"/>
  <c r="E19" i="7"/>
  <c r="E26" i="7"/>
  <c r="E20" i="7"/>
  <c r="D22" i="7"/>
  <c r="D19" i="7"/>
  <c r="D25" i="7"/>
  <c r="D20" i="7"/>
  <c r="D26" i="7"/>
  <c r="F12" i="7"/>
  <c r="F13" i="7"/>
  <c r="F15" i="7"/>
  <c r="D14" i="7"/>
  <c r="D15" i="7"/>
  <c r="F10" i="7"/>
  <c r="E8" i="7"/>
  <c r="F8" i="7"/>
  <c r="D32" i="7"/>
  <c r="E4" i="7"/>
  <c r="E32" i="7"/>
  <c r="E9" i="7"/>
  <c r="D28" i="7"/>
  <c r="D5" i="7"/>
  <c r="E28" i="7"/>
  <c r="D10" i="7"/>
  <c r="F28" i="7"/>
  <c r="D38" i="7"/>
  <c r="F5" i="7"/>
  <c r="E38" i="7"/>
  <c r="D6" i="7"/>
  <c r="D34" i="7"/>
  <c r="F29" i="7"/>
  <c r="F6" i="7"/>
  <c r="F34" i="7"/>
  <c r="D7" i="7"/>
  <c r="D21" i="7"/>
  <c r="F25" i="7"/>
  <c r="E30" i="7"/>
  <c r="F39" i="7"/>
  <c r="D8" i="7"/>
  <c r="D4" i="7"/>
  <c r="F4" i="7"/>
  <c r="F32" i="7"/>
  <c r="F9" i="7"/>
  <c r="E5" i="7"/>
  <c r="E10" i="7"/>
  <c r="D29" i="7"/>
  <c r="F33" i="7"/>
  <c r="E6" i="7"/>
  <c r="E34" i="7"/>
  <c r="E39" i="7"/>
  <c r="C10" i="5"/>
  <c r="C11" i="5"/>
  <c r="C8" i="5"/>
  <c r="I8" i="3"/>
  <c r="I9" i="3"/>
  <c r="H9" i="3"/>
  <c r="C8" i="3"/>
  <c r="C9" i="3"/>
  <c r="B11" i="3"/>
  <c r="B9" i="3"/>
  <c r="E22" i="5" l="1"/>
  <c r="D22" i="5"/>
  <c r="C22" i="5"/>
  <c r="B22" i="5"/>
  <c r="E20" i="5"/>
  <c r="H21" i="6" s="1"/>
  <c r="C20" i="5"/>
  <c r="B20" i="5"/>
  <c r="E19" i="5"/>
  <c r="H20" i="6" s="1"/>
  <c r="C19" i="5"/>
  <c r="B19" i="5"/>
  <c r="E20" i="6" s="1"/>
  <c r="E18" i="5"/>
  <c r="H19" i="6" s="1"/>
  <c r="D18" i="5"/>
  <c r="G18" i="5" s="1"/>
  <c r="C18" i="5"/>
  <c r="F19" i="6" s="1"/>
  <c r="B18" i="5"/>
  <c r="E17" i="5"/>
  <c r="D17" i="5"/>
  <c r="C17" i="5"/>
  <c r="B17" i="5"/>
  <c r="E16" i="5"/>
  <c r="H17" i="6" s="1"/>
  <c r="D16" i="5"/>
  <c r="G16" i="5" s="1"/>
  <c r="C16" i="5"/>
  <c r="B16" i="5"/>
  <c r="E15" i="5"/>
  <c r="D15" i="5"/>
  <c r="G15" i="5" s="1"/>
  <c r="C15" i="5"/>
  <c r="F16" i="6" s="1"/>
  <c r="B15" i="5"/>
  <c r="E16" i="6" s="1"/>
  <c r="E14" i="5"/>
  <c r="H15" i="6" s="1"/>
  <c r="D13" i="5"/>
  <c r="G13" i="5" s="1"/>
  <c r="F14" i="6"/>
  <c r="D7" i="5"/>
  <c r="C7" i="5"/>
  <c r="B7" i="5"/>
  <c r="C6" i="5"/>
  <c r="E5" i="5"/>
  <c r="E27" i="5" s="1"/>
  <c r="D5" i="5"/>
  <c r="B5" i="5"/>
  <c r="O24" i="3"/>
  <c r="L24" i="3"/>
  <c r="K24" i="3"/>
  <c r="J24" i="3"/>
  <c r="I24" i="3"/>
  <c r="H24" i="3"/>
  <c r="D24" i="3"/>
  <c r="C24" i="3"/>
  <c r="B24" i="3"/>
  <c r="O23" i="3"/>
  <c r="Q23" i="3" s="1"/>
  <c r="L23" i="3"/>
  <c r="K23" i="3"/>
  <c r="J23" i="3"/>
  <c r="I23" i="3"/>
  <c r="H23" i="3"/>
  <c r="D23" i="3"/>
  <c r="C23" i="3"/>
  <c r="B23" i="3"/>
  <c r="L22" i="3"/>
  <c r="K22" i="3"/>
  <c r="J22" i="3"/>
  <c r="I22" i="3"/>
  <c r="H22" i="3"/>
  <c r="O21" i="3"/>
  <c r="L21" i="3"/>
  <c r="K21" i="3"/>
  <c r="J21" i="3"/>
  <c r="I21" i="3"/>
  <c r="H21" i="3"/>
  <c r="D21" i="3"/>
  <c r="C21" i="3"/>
  <c r="B21" i="3"/>
  <c r="O20" i="3"/>
  <c r="L20" i="3"/>
  <c r="K20" i="3"/>
  <c r="J20" i="3"/>
  <c r="D20" i="3"/>
  <c r="C20" i="3"/>
  <c r="O19" i="3"/>
  <c r="I19" i="3"/>
  <c r="H19" i="3"/>
  <c r="D19" i="3"/>
  <c r="C19" i="3"/>
  <c r="B19" i="3"/>
  <c r="O18" i="3"/>
  <c r="L18" i="3"/>
  <c r="K18" i="3"/>
  <c r="J18" i="3"/>
  <c r="I18" i="3"/>
  <c r="L18" i="4" s="1"/>
  <c r="H18" i="3"/>
  <c r="F18" i="3"/>
  <c r="E18" i="3"/>
  <c r="D18" i="3"/>
  <c r="C18" i="3"/>
  <c r="B18" i="3"/>
  <c r="O17" i="3"/>
  <c r="L17" i="3"/>
  <c r="K17" i="3"/>
  <c r="J17" i="3"/>
  <c r="I17" i="3"/>
  <c r="H17" i="3"/>
  <c r="D17" i="3"/>
  <c r="C17" i="3"/>
  <c r="F17" i="4" s="1"/>
  <c r="O16" i="3"/>
  <c r="Q16" i="3" s="1"/>
  <c r="L16" i="3"/>
  <c r="L27" i="3" s="1"/>
  <c r="K16" i="3"/>
  <c r="J16" i="3"/>
  <c r="I16" i="3"/>
  <c r="H16" i="3"/>
  <c r="D16" i="3"/>
  <c r="C16" i="3"/>
  <c r="B16" i="3"/>
  <c r="O15" i="3"/>
  <c r="L15" i="3"/>
  <c r="K15" i="3"/>
  <c r="J15" i="3"/>
  <c r="I15" i="3"/>
  <c r="H15" i="3"/>
  <c r="D15" i="3"/>
  <c r="C15" i="3"/>
  <c r="B15" i="3"/>
  <c r="L14" i="3"/>
  <c r="K14" i="3"/>
  <c r="L14" i="4"/>
  <c r="H14" i="3"/>
  <c r="F14" i="3"/>
  <c r="E14" i="3"/>
  <c r="E27" i="3" s="1"/>
  <c r="G14" i="4"/>
  <c r="C14" i="3"/>
  <c r="O13" i="3"/>
  <c r="O9" i="3" s="1"/>
  <c r="J13" i="3"/>
  <c r="H10" i="3"/>
  <c r="C10" i="3"/>
  <c r="B10" i="3"/>
  <c r="O7" i="3"/>
  <c r="R7" i="3" s="1"/>
  <c r="J7" i="3"/>
  <c r="I7" i="3"/>
  <c r="H7" i="3"/>
  <c r="H27" i="3" s="1"/>
  <c r="D7" i="3"/>
  <c r="G7" i="4" s="1"/>
  <c r="C7" i="3"/>
  <c r="B7" i="3"/>
  <c r="J6" i="3"/>
  <c r="I6" i="3"/>
  <c r="L6" i="4" s="1"/>
  <c r="H6" i="3"/>
  <c r="C6" i="3"/>
  <c r="J5" i="3"/>
  <c r="I5" i="3"/>
  <c r="H5" i="3"/>
  <c r="B5" i="3"/>
  <c r="G7" i="6"/>
  <c r="J7" i="6" s="1"/>
  <c r="C23" i="5"/>
  <c r="F23" i="6" s="1"/>
  <c r="B23" i="5"/>
  <c r="E19" i="6" s="1"/>
  <c r="R25" i="3"/>
  <c r="U22" i="4" s="1"/>
  <c r="Q25" i="3"/>
  <c r="T22" i="4" s="1"/>
  <c r="P25" i="3"/>
  <c r="S22" i="4" s="1"/>
  <c r="O25" i="3"/>
  <c r="L25" i="3"/>
  <c r="O7" i="4" s="1"/>
  <c r="K25" i="3"/>
  <c r="N7" i="4" s="1"/>
  <c r="J25" i="3"/>
  <c r="M14" i="4" s="1"/>
  <c r="I25" i="3"/>
  <c r="H25" i="3"/>
  <c r="K16" i="4" s="1"/>
  <c r="F25" i="3"/>
  <c r="I24" i="4" s="1"/>
  <c r="E25" i="3"/>
  <c r="H24" i="4" s="1"/>
  <c r="D25" i="3"/>
  <c r="G5" i="4" s="1"/>
  <c r="C25" i="3"/>
  <c r="F16" i="4" s="1"/>
  <c r="B25" i="3"/>
  <c r="E21" i="4" s="1"/>
  <c r="J27" i="6"/>
  <c r="F27" i="6"/>
  <c r="G22" i="6"/>
  <c r="J22" i="6" s="1"/>
  <c r="F22" i="6"/>
  <c r="G21" i="6"/>
  <c r="J21" i="6" s="1"/>
  <c r="H18" i="6"/>
  <c r="J14" i="6"/>
  <c r="H12" i="6"/>
  <c r="G12" i="6"/>
  <c r="J12" i="6" s="1"/>
  <c r="G11" i="6"/>
  <c r="J11" i="6" s="1"/>
  <c r="H10" i="6"/>
  <c r="G10" i="6"/>
  <c r="J10" i="6" s="1"/>
  <c r="H9" i="6"/>
  <c r="G9" i="6"/>
  <c r="J9" i="6" s="1"/>
  <c r="H8" i="6"/>
  <c r="E8" i="6"/>
  <c r="H7" i="6"/>
  <c r="E7" i="6"/>
  <c r="G23" i="5"/>
  <c r="H11" i="6"/>
  <c r="G20" i="6"/>
  <c r="J20" i="6" s="1"/>
  <c r="H23" i="6"/>
  <c r="G21" i="5"/>
  <c r="G20" i="5"/>
  <c r="G19" i="5"/>
  <c r="G17" i="5"/>
  <c r="G18" i="6"/>
  <c r="J18" i="6" s="1"/>
  <c r="F18" i="6"/>
  <c r="G14" i="5"/>
  <c r="J15" i="6"/>
  <c r="E12" i="5"/>
  <c r="D12" i="5"/>
  <c r="G12" i="5" s="1"/>
  <c r="G11" i="5"/>
  <c r="G10" i="5"/>
  <c r="G9" i="5"/>
  <c r="G8" i="5"/>
  <c r="G6" i="5"/>
  <c r="H14" i="4"/>
  <c r="T5" i="4"/>
  <c r="S5" i="4"/>
  <c r="O5" i="4"/>
  <c r="K20" i="4"/>
  <c r="R24" i="3"/>
  <c r="Q24" i="3"/>
  <c r="K24" i="4"/>
  <c r="G24" i="4"/>
  <c r="K23" i="4"/>
  <c r="G23" i="4"/>
  <c r="F23" i="4"/>
  <c r="R22" i="3"/>
  <c r="Q22" i="3"/>
  <c r="P22" i="3"/>
  <c r="L21" i="4"/>
  <c r="R20" i="3"/>
  <c r="G20" i="4"/>
  <c r="F20" i="4"/>
  <c r="R19" i="3"/>
  <c r="Q19" i="3"/>
  <c r="T19" i="4" s="1"/>
  <c r="P19" i="3"/>
  <c r="K17" i="4"/>
  <c r="G17" i="4"/>
  <c r="G16" i="4"/>
  <c r="R15" i="3"/>
  <c r="Q15" i="3"/>
  <c r="P15" i="3"/>
  <c r="K15" i="4"/>
  <c r="R14" i="3"/>
  <c r="Q14" i="3"/>
  <c r="P14" i="3"/>
  <c r="L12" i="3"/>
  <c r="K12" i="3"/>
  <c r="J12" i="3"/>
  <c r="F12" i="3"/>
  <c r="E12" i="3"/>
  <c r="D12" i="3"/>
  <c r="L11" i="4"/>
  <c r="I10" i="3"/>
  <c r="K9" i="4"/>
  <c r="E9" i="4"/>
  <c r="K6" i="4"/>
  <c r="C30" i="2"/>
  <c r="F19" i="4" l="1"/>
  <c r="F20" i="6"/>
  <c r="N10" i="4"/>
  <c r="O10" i="4"/>
  <c r="O13" i="4"/>
  <c r="T24" i="4"/>
  <c r="O24" i="4"/>
  <c r="S15" i="4"/>
  <c r="U24" i="4"/>
  <c r="E6" i="6"/>
  <c r="T15" i="4"/>
  <c r="F21" i="4"/>
  <c r="F22" i="4"/>
  <c r="F7" i="6"/>
  <c r="K11" i="4"/>
  <c r="G21" i="4"/>
  <c r="G22" i="4"/>
  <c r="K21" i="4"/>
  <c r="F8" i="6"/>
  <c r="U20" i="4"/>
  <c r="M5" i="4"/>
  <c r="N24" i="4"/>
  <c r="N20" i="4"/>
  <c r="S6" i="4"/>
  <c r="S14" i="4"/>
  <c r="N17" i="4"/>
  <c r="O14" i="4"/>
  <c r="N21" i="4"/>
  <c r="F21" i="6"/>
  <c r="M24" i="4"/>
  <c r="M22" i="4"/>
  <c r="N5" i="4"/>
  <c r="N15" i="4"/>
  <c r="O22" i="4"/>
  <c r="O18" i="4"/>
  <c r="M15" i="4"/>
  <c r="O6" i="4"/>
  <c r="M16" i="4"/>
  <c r="T6" i="4"/>
  <c r="E8" i="4"/>
  <c r="E12" i="4" s="1"/>
  <c r="E13" i="4"/>
  <c r="E9" i="6"/>
  <c r="E14" i="6"/>
  <c r="T14" i="4"/>
  <c r="O17" i="4"/>
  <c r="F14" i="4"/>
  <c r="F8" i="4"/>
  <c r="E21" i="6"/>
  <c r="O20" i="4"/>
  <c r="E23" i="6"/>
  <c r="E11" i="4"/>
  <c r="M17" i="4"/>
  <c r="U7" i="4"/>
  <c r="O21" i="4"/>
  <c r="F11" i="4"/>
  <c r="F15" i="4"/>
  <c r="F18" i="4"/>
  <c r="O11" i="4"/>
  <c r="N8" i="4"/>
  <c r="E10" i="4"/>
  <c r="H18" i="4"/>
  <c r="T23" i="4"/>
  <c r="E18" i="6"/>
  <c r="N22" i="4"/>
  <c r="M6" i="4"/>
  <c r="N16" i="4"/>
  <c r="E17" i="6"/>
  <c r="F15" i="6"/>
  <c r="F9" i="6"/>
  <c r="M21" i="4"/>
  <c r="F17" i="6"/>
  <c r="E15" i="4"/>
  <c r="M8" i="4"/>
  <c r="G15" i="4"/>
  <c r="G18" i="4"/>
  <c r="U5" i="4"/>
  <c r="O8" i="4"/>
  <c r="E22" i="6"/>
  <c r="K13" i="4"/>
  <c r="K8" i="4"/>
  <c r="F10" i="4"/>
  <c r="K22" i="4"/>
  <c r="E24" i="4"/>
  <c r="M13" i="4"/>
  <c r="O15" i="4"/>
  <c r="S19" i="4"/>
  <c r="E5" i="4"/>
  <c r="M10" i="4"/>
  <c r="E23" i="4"/>
  <c r="E15" i="6"/>
  <c r="F6" i="6"/>
  <c r="L8" i="4"/>
  <c r="L13" i="4"/>
  <c r="T16" i="4"/>
  <c r="K18" i="4"/>
  <c r="H13" i="6"/>
  <c r="G16" i="6"/>
  <c r="J16" i="6" s="1"/>
  <c r="H6" i="6"/>
  <c r="G19" i="6"/>
  <c r="J19" i="6" s="1"/>
  <c r="Q9" i="3"/>
  <c r="T9" i="4" s="1"/>
  <c r="R9" i="3"/>
  <c r="U9" i="4" s="1"/>
  <c r="O10" i="3"/>
  <c r="Q10" i="3" s="1"/>
  <c r="T10" i="4" s="1"/>
  <c r="P13" i="3"/>
  <c r="S13" i="4" s="1"/>
  <c r="K27" i="3"/>
  <c r="K29" i="3" s="1"/>
  <c r="O8" i="3"/>
  <c r="R13" i="3"/>
  <c r="J27" i="3"/>
  <c r="J29" i="3" s="1"/>
  <c r="O11" i="3"/>
  <c r="R11" i="3" s="1"/>
  <c r="U11" i="4" s="1"/>
  <c r="P16" i="3"/>
  <c r="S16" i="4" s="1"/>
  <c r="R16" i="3"/>
  <c r="U16" i="4" s="1"/>
  <c r="Q13" i="3"/>
  <c r="T13" i="4" s="1"/>
  <c r="P7" i="3"/>
  <c r="S7" i="4" s="1"/>
  <c r="Q7" i="3"/>
  <c r="T7" i="4" s="1"/>
  <c r="R20" i="4"/>
  <c r="G8" i="6"/>
  <c r="J8" i="6" s="1"/>
  <c r="G13" i="6"/>
  <c r="J13" i="6" s="1"/>
  <c r="R14" i="4"/>
  <c r="R8" i="4"/>
  <c r="R22" i="4"/>
  <c r="R5" i="4"/>
  <c r="R15" i="4"/>
  <c r="R6" i="4"/>
  <c r="R10" i="4"/>
  <c r="R13" i="4"/>
  <c r="R17" i="4"/>
  <c r="R19" i="4"/>
  <c r="R24" i="4"/>
  <c r="R7" i="4"/>
  <c r="L23" i="4"/>
  <c r="L9" i="4"/>
  <c r="L17" i="4"/>
  <c r="L20" i="4"/>
  <c r="L7" i="4"/>
  <c r="L22" i="4"/>
  <c r="L16" i="4"/>
  <c r="L15" i="4"/>
  <c r="L10" i="4"/>
  <c r="L24" i="4"/>
  <c r="I18" i="4"/>
  <c r="I22" i="4"/>
  <c r="E14" i="4"/>
  <c r="B27" i="3"/>
  <c r="B29" i="3" s="1"/>
  <c r="Q18" i="3"/>
  <c r="T18" i="4" s="1"/>
  <c r="R18" i="3"/>
  <c r="U18" i="4" s="1"/>
  <c r="P18" i="3"/>
  <c r="S18" i="4" s="1"/>
  <c r="R18" i="4"/>
  <c r="B12" i="3"/>
  <c r="F6" i="4"/>
  <c r="C27" i="3"/>
  <c r="C29" i="3" s="1"/>
  <c r="G19" i="4"/>
  <c r="H12" i="3"/>
  <c r="B10" i="5"/>
  <c r="E11" i="6" s="1"/>
  <c r="E12" i="6"/>
  <c r="E10" i="6"/>
  <c r="L5" i="4"/>
  <c r="I27" i="3"/>
  <c r="I29" i="3" s="1"/>
  <c r="I19" i="4"/>
  <c r="H19" i="4"/>
  <c r="E22" i="4"/>
  <c r="E6" i="4"/>
  <c r="E18" i="4"/>
  <c r="C12" i="3"/>
  <c r="Q17" i="3"/>
  <c r="T17" i="4" s="1"/>
  <c r="R17" i="3"/>
  <c r="U17" i="4" s="1"/>
  <c r="S17" i="4"/>
  <c r="R23" i="3"/>
  <c r="U23" i="4" s="1"/>
  <c r="R23" i="4"/>
  <c r="P23" i="3"/>
  <c r="S23" i="4" s="1"/>
  <c r="G23" i="6"/>
  <c r="J23" i="6" s="1"/>
  <c r="G22" i="5"/>
  <c r="H16" i="6"/>
  <c r="O27" i="3"/>
  <c r="O29" i="3" s="1"/>
  <c r="U19" i="4"/>
  <c r="U15" i="4"/>
  <c r="E19" i="4"/>
  <c r="E20" i="4"/>
  <c r="M20" i="4"/>
  <c r="M11" i="4"/>
  <c r="M23" i="4"/>
  <c r="U13" i="4"/>
  <c r="E16" i="4"/>
  <c r="M19" i="4"/>
  <c r="R10" i="3"/>
  <c r="U10" i="4" s="1"/>
  <c r="P10" i="3"/>
  <c r="S10" i="4" s="1"/>
  <c r="N13" i="4"/>
  <c r="N6" i="4"/>
  <c r="N11" i="4"/>
  <c r="N23" i="4"/>
  <c r="N19" i="4"/>
  <c r="M18" i="4"/>
  <c r="U6" i="4"/>
  <c r="M9" i="4"/>
  <c r="O19" i="4"/>
  <c r="I12" i="3"/>
  <c r="N18" i="4"/>
  <c r="P21" i="3"/>
  <c r="S21" i="4" s="1"/>
  <c r="R21" i="4"/>
  <c r="R21" i="3"/>
  <c r="U21" i="4" s="1"/>
  <c r="E7" i="4"/>
  <c r="N9" i="4"/>
  <c r="E17" i="4"/>
  <c r="G7" i="5"/>
  <c r="U14" i="4"/>
  <c r="Q21" i="3"/>
  <c r="T21" i="4" s="1"/>
  <c r="M7" i="4"/>
  <c r="N14" i="4"/>
  <c r="I14" i="4"/>
  <c r="F27" i="3"/>
  <c r="F29" i="3" s="1"/>
  <c r="K19" i="4"/>
  <c r="O9" i="4"/>
  <c r="P11" i="3"/>
  <c r="S11" i="4" s="1"/>
  <c r="L19" i="4"/>
  <c r="P20" i="3"/>
  <c r="S20" i="4" s="1"/>
  <c r="R9" i="4"/>
  <c r="O16" i="4"/>
  <c r="O23" i="4"/>
  <c r="D27" i="3"/>
  <c r="D29" i="3" s="1"/>
  <c r="P9" i="3"/>
  <c r="S9" i="4" s="1"/>
  <c r="Q11" i="3"/>
  <c r="T11" i="4" s="1"/>
  <c r="Q20" i="3"/>
  <c r="T20" i="4" s="1"/>
  <c r="P24" i="3"/>
  <c r="S24" i="4" s="1"/>
  <c r="L29" i="3"/>
  <c r="R16" i="4"/>
  <c r="D27" i="5"/>
  <c r="D29" i="5" s="1"/>
  <c r="K5" i="4"/>
  <c r="F10" i="6"/>
  <c r="F5" i="4"/>
  <c r="F24" i="4"/>
  <c r="Q8" i="3"/>
  <c r="T8" i="4" s="1"/>
  <c r="E29" i="3"/>
  <c r="H5" i="4"/>
  <c r="H6" i="4"/>
  <c r="H7" i="4"/>
  <c r="H8" i="4"/>
  <c r="H9" i="4"/>
  <c r="H10" i="4"/>
  <c r="H11" i="4"/>
  <c r="H13" i="4"/>
  <c r="H15" i="4"/>
  <c r="H16" i="4"/>
  <c r="H17" i="4"/>
  <c r="H20" i="4"/>
  <c r="H21" i="4"/>
  <c r="H22" i="4"/>
  <c r="H23" i="4"/>
  <c r="G5" i="5"/>
  <c r="F11" i="6"/>
  <c r="R8" i="3"/>
  <c r="U8" i="4" s="1"/>
  <c r="I5" i="4"/>
  <c r="I6" i="4"/>
  <c r="I7" i="4"/>
  <c r="I8" i="4"/>
  <c r="I9" i="4"/>
  <c r="I10" i="4"/>
  <c r="I11" i="4"/>
  <c r="I13" i="4"/>
  <c r="I15" i="4"/>
  <c r="I16" i="4"/>
  <c r="I17" i="4"/>
  <c r="I20" i="4"/>
  <c r="I21" i="4"/>
  <c r="I23" i="4"/>
  <c r="G6" i="6"/>
  <c r="H29" i="3"/>
  <c r="K7" i="4"/>
  <c r="K10" i="4"/>
  <c r="K14" i="4"/>
  <c r="F12" i="6"/>
  <c r="E29" i="5"/>
  <c r="G17" i="6"/>
  <c r="J17" i="6" s="1"/>
  <c r="F7" i="4"/>
  <c r="F9" i="4"/>
  <c r="F13" i="4"/>
  <c r="G6" i="4"/>
  <c r="G8" i="4"/>
  <c r="G9" i="4"/>
  <c r="G10" i="4"/>
  <c r="G11" i="4"/>
  <c r="G13" i="4"/>
  <c r="E102" i="1"/>
  <c r="E103" i="1" s="1"/>
  <c r="D102" i="1"/>
  <c r="D103" i="1" s="1"/>
  <c r="I101" i="1"/>
  <c r="H101" i="1"/>
  <c r="H102" i="1" s="1"/>
  <c r="H103" i="1" s="1"/>
  <c r="G101" i="1"/>
  <c r="G102" i="1" s="1"/>
  <c r="G103" i="1" s="1"/>
  <c r="F101" i="1"/>
  <c r="F102" i="1" s="1"/>
  <c r="F103" i="1" s="1"/>
  <c r="E101" i="1"/>
  <c r="D101" i="1"/>
  <c r="H100" i="1"/>
  <c r="G100" i="1"/>
  <c r="F100" i="1"/>
  <c r="E100" i="1"/>
  <c r="D100" i="1"/>
  <c r="G98" i="1"/>
  <c r="F98" i="1"/>
  <c r="E97" i="1"/>
  <c r="E98" i="1" s="1"/>
  <c r="D97" i="1"/>
  <c r="D98" i="1" s="1"/>
  <c r="I96" i="1"/>
  <c r="I97" i="1" s="1"/>
  <c r="I98" i="1" s="1"/>
  <c r="H96" i="1"/>
  <c r="G96" i="1"/>
  <c r="G97" i="1" s="1"/>
  <c r="F96" i="1"/>
  <c r="F97" i="1" s="1"/>
  <c r="E96" i="1"/>
  <c r="D96" i="1"/>
  <c r="I95" i="1"/>
  <c r="H95" i="1"/>
  <c r="G95" i="1"/>
  <c r="F95" i="1"/>
  <c r="E95" i="1"/>
  <c r="D95" i="1"/>
  <c r="I93" i="1"/>
  <c r="H93" i="1"/>
  <c r="G93" i="1"/>
  <c r="E93" i="1"/>
  <c r="D93" i="1"/>
  <c r="I92" i="1"/>
  <c r="H92" i="1"/>
  <c r="G92" i="1"/>
  <c r="F92" i="1"/>
  <c r="F93" i="1" s="1"/>
  <c r="E92" i="1"/>
  <c r="D92" i="1"/>
  <c r="I91" i="1"/>
  <c r="I90" i="1"/>
  <c r="I100" i="1" s="1"/>
  <c r="E83" i="1"/>
  <c r="D83" i="1"/>
  <c r="D44" i="1"/>
  <c r="G68" i="1"/>
  <c r="E68" i="1"/>
  <c r="G65" i="1"/>
  <c r="F65" i="1"/>
  <c r="E65" i="1"/>
  <c r="D64" i="1"/>
  <c r="D61" i="1"/>
  <c r="G60" i="1"/>
  <c r="E60" i="1"/>
  <c r="D60" i="1"/>
  <c r="G57" i="1"/>
  <c r="E57" i="1"/>
  <c r="D57" i="1"/>
  <c r="F56" i="1"/>
  <c r="E56" i="1"/>
  <c r="D65" i="1"/>
  <c r="Q44" i="1"/>
  <c r="J39" i="1"/>
  <c r="I39" i="1"/>
  <c r="P37" i="1"/>
  <c r="F34" i="1"/>
  <c r="E34" i="1"/>
  <c r="D34" i="1"/>
  <c r="I33" i="1"/>
  <c r="F70" i="1" s="1"/>
  <c r="F33" i="1"/>
  <c r="E70" i="1" s="1"/>
  <c r="E33" i="1"/>
  <c r="G32" i="1"/>
  <c r="F32" i="1"/>
  <c r="E69" i="1" s="1"/>
  <c r="E32" i="1"/>
  <c r="D32" i="1"/>
  <c r="J31" i="1"/>
  <c r="F30" i="1"/>
  <c r="E30" i="1"/>
  <c r="D30" i="1"/>
  <c r="I29" i="1"/>
  <c r="F67" i="1" s="1"/>
  <c r="F29" i="1"/>
  <c r="E67" i="1" s="1"/>
  <c r="E29" i="1"/>
  <c r="D29" i="1"/>
  <c r="J28" i="1"/>
  <c r="F28" i="1"/>
  <c r="E66" i="1" s="1"/>
  <c r="E28" i="1"/>
  <c r="D28" i="1"/>
  <c r="D66" i="1" s="1"/>
  <c r="R27" i="1"/>
  <c r="Q27" i="1"/>
  <c r="T27" i="1" s="1"/>
  <c r="W27" i="1" s="1"/>
  <c r="M26" i="1"/>
  <c r="K26" i="1"/>
  <c r="J26" i="1"/>
  <c r="I26" i="1"/>
  <c r="F64" i="1" s="1"/>
  <c r="H26" i="1"/>
  <c r="G26" i="1"/>
  <c r="E26" i="1"/>
  <c r="D26" i="1"/>
  <c r="J25" i="1"/>
  <c r="G25" i="1"/>
  <c r="E25" i="1"/>
  <c r="V37" i="1"/>
  <c r="Q24" i="1"/>
  <c r="Q37" i="1" s="1"/>
  <c r="K24" i="1"/>
  <c r="D24" i="1"/>
  <c r="K23" i="1"/>
  <c r="G61" i="1" s="1"/>
  <c r="J23" i="1"/>
  <c r="I23" i="1"/>
  <c r="F61" i="1" s="1"/>
  <c r="H23" i="1"/>
  <c r="G23" i="1"/>
  <c r="F23" i="1"/>
  <c r="E61" i="1" s="1"/>
  <c r="E23" i="1"/>
  <c r="G22" i="1"/>
  <c r="F22" i="1"/>
  <c r="E22" i="1"/>
  <c r="D22" i="1"/>
  <c r="G21" i="1"/>
  <c r="F21" i="1"/>
  <c r="E59" i="1" s="1"/>
  <c r="E21" i="1"/>
  <c r="D21" i="1"/>
  <c r="K20" i="1"/>
  <c r="G58" i="1" s="1"/>
  <c r="J20" i="1"/>
  <c r="E20" i="1"/>
  <c r="D20" i="1"/>
  <c r="J19" i="1"/>
  <c r="G19" i="1"/>
  <c r="F19" i="1"/>
  <c r="K18" i="1"/>
  <c r="E18" i="1"/>
  <c r="D18" i="1"/>
  <c r="O15" i="1"/>
  <c r="F31" i="1"/>
  <c r="E31" i="1"/>
  <c r="D33" i="1"/>
  <c r="R26" i="1"/>
  <c r="Q26" i="1"/>
  <c r="P39" i="1"/>
  <c r="O13" i="1"/>
  <c r="O44" i="1" s="1"/>
  <c r="M24" i="1"/>
  <c r="G20" i="1"/>
  <c r="D23" i="1"/>
  <c r="F6" i="1"/>
  <c r="E6" i="1"/>
  <c r="D6" i="1"/>
  <c r="W5" i="1"/>
  <c r="H4" i="1"/>
  <c r="H6" i="1" s="1"/>
  <c r="G4" i="1"/>
  <c r="G6" i="1" s="1"/>
  <c r="F4" i="1"/>
  <c r="E4" i="1"/>
  <c r="D4" i="1"/>
  <c r="H25" i="6" l="1"/>
  <c r="H29" i="6" s="1"/>
  <c r="O12" i="4"/>
  <c r="M12" i="4"/>
  <c r="L12" i="4"/>
  <c r="R11" i="4"/>
  <c r="P8" i="3"/>
  <c r="S8" i="4" s="1"/>
  <c r="O12" i="3"/>
  <c r="R12" i="4"/>
  <c r="F12" i="4"/>
  <c r="U25" i="4"/>
  <c r="U29" i="4" s="1"/>
  <c r="T12" i="4"/>
  <c r="T25" i="4"/>
  <c r="T29" i="4" s="1"/>
  <c r="S25" i="4"/>
  <c r="S29" i="4" s="1"/>
  <c r="N25" i="4"/>
  <c r="N29" i="4" s="1"/>
  <c r="E25" i="4"/>
  <c r="E29" i="4" s="1"/>
  <c r="M25" i="4"/>
  <c r="M29" i="4" s="1"/>
  <c r="P27" i="3"/>
  <c r="P29" i="3" s="1"/>
  <c r="I25" i="4"/>
  <c r="I29" i="4" s="1"/>
  <c r="K12" i="4"/>
  <c r="U12" i="4"/>
  <c r="H12" i="4"/>
  <c r="R25" i="4"/>
  <c r="R29" i="4" s="1"/>
  <c r="G27" i="5"/>
  <c r="G29" i="5" s="1"/>
  <c r="N12" i="4"/>
  <c r="O25" i="4"/>
  <c r="O29" i="4" s="1"/>
  <c r="K25" i="4"/>
  <c r="K29" i="4" s="1"/>
  <c r="G25" i="4"/>
  <c r="G29" i="4" s="1"/>
  <c r="F13" i="6"/>
  <c r="I12" i="4"/>
  <c r="G12" i="4"/>
  <c r="G25" i="6"/>
  <c r="J6" i="6"/>
  <c r="C27" i="5"/>
  <c r="C29" i="5" s="1"/>
  <c r="R27" i="3"/>
  <c r="R29" i="3" s="1"/>
  <c r="H25" i="4"/>
  <c r="H29" i="4" s="1"/>
  <c r="S12" i="4"/>
  <c r="B27" i="5"/>
  <c r="B29" i="5" s="1"/>
  <c r="L25" i="4"/>
  <c r="L29" i="4" s="1"/>
  <c r="B12" i="5"/>
  <c r="Q27" i="3"/>
  <c r="Q29" i="3" s="1"/>
  <c r="F25" i="4"/>
  <c r="F29" i="4" s="1"/>
  <c r="F25" i="6"/>
  <c r="F29" i="6" s="1"/>
  <c r="C12" i="5"/>
  <c r="M37" i="1"/>
  <c r="L18" i="1"/>
  <c r="L25" i="1"/>
  <c r="L20" i="1"/>
  <c r="O29" i="1"/>
  <c r="O33" i="1"/>
  <c r="O32" i="1"/>
  <c r="D56" i="1"/>
  <c r="O31" i="1"/>
  <c r="N26" i="1"/>
  <c r="N25" i="1"/>
  <c r="N37" i="1" s="1"/>
  <c r="N39" i="1" s="1"/>
  <c r="E37" i="1"/>
  <c r="E39" i="1" s="1"/>
  <c r="M44" i="1"/>
  <c r="G56" i="1"/>
  <c r="K37" i="1"/>
  <c r="T25" i="1"/>
  <c r="W25" i="1" s="1"/>
  <c r="T32" i="1"/>
  <c r="W32" i="1" s="1"/>
  <c r="O34" i="1"/>
  <c r="D70" i="1"/>
  <c r="L23" i="1"/>
  <c r="T23" i="1" s="1"/>
  <c r="W23" i="1" s="1"/>
  <c r="G70" i="1"/>
  <c r="G67" i="1"/>
  <c r="G59" i="1"/>
  <c r="G66" i="1"/>
  <c r="G69" i="1"/>
  <c r="D69" i="1"/>
  <c r="H24" i="1"/>
  <c r="H20" i="1"/>
  <c r="H21" i="1"/>
  <c r="T21" i="1" s="1"/>
  <c r="W21" i="1" s="1"/>
  <c r="H19" i="1"/>
  <c r="H22" i="1"/>
  <c r="G31" i="1"/>
  <c r="G28" i="1"/>
  <c r="G37" i="1" s="1"/>
  <c r="G29" i="1"/>
  <c r="T29" i="1" s="1"/>
  <c r="W29" i="1" s="1"/>
  <c r="G34" i="1"/>
  <c r="T34" i="1" s="1"/>
  <c r="W34" i="1" s="1"/>
  <c r="G30" i="1"/>
  <c r="T30" i="1" s="1"/>
  <c r="W30" i="1" s="1"/>
  <c r="G63" i="1"/>
  <c r="I44" i="1"/>
  <c r="I21" i="1"/>
  <c r="F59" i="1" s="1"/>
  <c r="I24" i="1"/>
  <c r="F62" i="1" s="1"/>
  <c r="I19" i="1"/>
  <c r="I22" i="1"/>
  <c r="F60" i="1" s="1"/>
  <c r="H28" i="1"/>
  <c r="H32" i="1"/>
  <c r="H29" i="1"/>
  <c r="H31" i="1"/>
  <c r="H34" i="1"/>
  <c r="D58" i="1"/>
  <c r="G62" i="1"/>
  <c r="O28" i="1"/>
  <c r="H30" i="1"/>
  <c r="I102" i="1"/>
  <c r="I103" i="1" s="1"/>
  <c r="J21" i="1"/>
  <c r="J37" i="1" s="1"/>
  <c r="J22" i="1"/>
  <c r="I28" i="1"/>
  <c r="F66" i="1" s="1"/>
  <c r="I32" i="1"/>
  <c r="F69" i="1" s="1"/>
  <c r="I31" i="1"/>
  <c r="F68" i="1" s="1"/>
  <c r="I34" i="1"/>
  <c r="G64" i="1"/>
  <c r="G33" i="1"/>
  <c r="T33" i="1" s="1"/>
  <c r="W33" i="1" s="1"/>
  <c r="K44" i="1"/>
  <c r="J32" i="1"/>
  <c r="J29" i="1"/>
  <c r="J33" i="1"/>
  <c r="J34" i="1"/>
  <c r="I20" i="1"/>
  <c r="F58" i="1" s="1"/>
  <c r="Q39" i="1"/>
  <c r="F84" i="1"/>
  <c r="G84" i="1" s="1"/>
  <c r="I84" i="1" s="1"/>
  <c r="L26" i="1"/>
  <c r="H33" i="1"/>
  <c r="D31" i="1"/>
  <c r="D63" i="1"/>
  <c r="F24" i="1"/>
  <c r="F44" i="1"/>
  <c r="F20" i="1"/>
  <c r="D62" i="1"/>
  <c r="E63" i="1"/>
  <c r="D59" i="1"/>
  <c r="F26" i="1"/>
  <c r="F63" i="1"/>
  <c r="D67" i="1"/>
  <c r="H97" i="1"/>
  <c r="H98" i="1" s="1"/>
  <c r="R25" i="1"/>
  <c r="R37" i="1" s="1"/>
  <c r="R39" i="1" s="1"/>
  <c r="T13" i="1"/>
  <c r="R12" i="3" l="1"/>
  <c r="Q12" i="3"/>
  <c r="P12" i="3"/>
  <c r="E13" i="6"/>
  <c r="E25" i="6"/>
  <c r="E29" i="6" s="1"/>
  <c r="G29" i="6"/>
  <c r="J29" i="6" s="1"/>
  <c r="J25" i="6"/>
  <c r="G47" i="1"/>
  <c r="G39" i="1"/>
  <c r="F57" i="1"/>
  <c r="F73" i="1" s="1"/>
  <c r="I37" i="1"/>
  <c r="I42" i="1" s="1"/>
  <c r="E64" i="1"/>
  <c r="T26" i="1"/>
  <c r="W26" i="1" s="1"/>
  <c r="K39" i="1"/>
  <c r="G73" i="1"/>
  <c r="K42" i="1" s="1"/>
  <c r="O37" i="1"/>
  <c r="E58" i="1"/>
  <c r="F37" i="1"/>
  <c r="L37" i="1"/>
  <c r="L39" i="1" s="1"/>
  <c r="T22" i="1"/>
  <c r="W22" i="1" s="1"/>
  <c r="E62" i="1"/>
  <c r="T24" i="1"/>
  <c r="W24" i="1" s="1"/>
  <c r="T20" i="1"/>
  <c r="W20" i="1" s="1"/>
  <c r="T28" i="1"/>
  <c r="W28" i="1" s="1"/>
  <c r="D68" i="1"/>
  <c r="T31" i="1"/>
  <c r="W31" i="1" s="1"/>
  <c r="D73" i="1"/>
  <c r="T18" i="1"/>
  <c r="W18" i="1" s="1"/>
  <c r="F83" i="1"/>
  <c r="M39" i="1"/>
  <c r="M42" i="1"/>
  <c r="H37" i="1"/>
  <c r="H39" i="1" s="1"/>
  <c r="T19" i="1"/>
  <c r="W19" i="1" s="1"/>
  <c r="D37" i="1"/>
  <c r="F85" i="1" l="1"/>
  <c r="G83" i="1"/>
  <c r="I83" i="1" s="1"/>
  <c r="I85" i="1" s="1"/>
  <c r="J85" i="1" s="1"/>
  <c r="I53" i="1" s="1"/>
  <c r="O39" i="1"/>
  <c r="O42" i="1"/>
  <c r="T37" i="1"/>
  <c r="W37" i="1" s="1"/>
  <c r="D42" i="1"/>
  <c r="D39" i="1"/>
  <c r="F47" i="1"/>
  <c r="F39" i="1"/>
  <c r="E73" i="1"/>
  <c r="F42" i="1" s="1"/>
  <c r="I61" i="1" l="1"/>
  <c r="I58" i="1"/>
  <c r="I59" i="1"/>
  <c r="I63" i="1"/>
  <c r="I56" i="1"/>
  <c r="I60" i="1"/>
  <c r="I65" i="1"/>
  <c r="I57" i="1"/>
  <c r="I62" i="1"/>
  <c r="I64" i="1"/>
  <c r="I69" i="1"/>
  <c r="I70" i="1"/>
  <c r="I68" i="1"/>
  <c r="I67" i="1"/>
  <c r="I66" i="1"/>
  <c r="I73" i="1" l="1"/>
  <c r="Q42" i="1" s="1"/>
</calcChain>
</file>

<file path=xl/sharedStrings.xml><?xml version="1.0" encoding="utf-8"?>
<sst xmlns="http://schemas.openxmlformats.org/spreadsheetml/2006/main" count="615" uniqueCount="274">
  <si>
    <t>The Ohio State University</t>
  </si>
  <si>
    <t>Summary of Projected Benefit Costs</t>
  </si>
  <si>
    <t>by Rate Group</t>
  </si>
  <si>
    <t>Proj Avg Sal per FTE -FY27</t>
  </si>
  <si>
    <t>PD Fellows</t>
  </si>
  <si>
    <t>Proj Avg Sal per FTE -FY26</t>
  </si>
  <si>
    <t>Mapped to Rate 2</t>
  </si>
  <si>
    <t>% Change</t>
  </si>
  <si>
    <t>for 20-21 Rates</t>
  </si>
  <si>
    <t>Faculty</t>
  </si>
  <si>
    <t>Combined Staff</t>
  </si>
  <si>
    <t>Classified Civil Service</t>
  </si>
  <si>
    <t>Specials</t>
  </si>
  <si>
    <t>Students</t>
  </si>
  <si>
    <t>Grad Assistants</t>
  </si>
  <si>
    <t>Totals</t>
  </si>
  <si>
    <t>Primary</t>
  </si>
  <si>
    <t>% Rate/</t>
  </si>
  <si>
    <t>Rate 1</t>
  </si>
  <si>
    <t>Rate 11</t>
  </si>
  <si>
    <t>Rate 2/3</t>
  </si>
  <si>
    <t>Rate 12/13</t>
  </si>
  <si>
    <t>Rate 3</t>
  </si>
  <si>
    <t>Rate 13</t>
  </si>
  <si>
    <t>Rate 4</t>
  </si>
  <si>
    <t>Rate 14</t>
  </si>
  <si>
    <t>Rate 5</t>
  </si>
  <si>
    <t>Rate 15</t>
  </si>
  <si>
    <t>Rate 6</t>
  </si>
  <si>
    <t>Rate 16</t>
  </si>
  <si>
    <t>Rate 7</t>
  </si>
  <si>
    <t>Rate 17</t>
  </si>
  <si>
    <t>Cost Driver</t>
  </si>
  <si>
    <t>Cost per Head</t>
  </si>
  <si>
    <t>UNIV/OSP</t>
  </si>
  <si>
    <t>Health System</t>
  </si>
  <si>
    <t>UNIV/RF</t>
  </si>
  <si>
    <t>Group Practice</t>
  </si>
  <si>
    <t>Projected Salary</t>
  </si>
  <si>
    <t>Headcount (benefit-eligible FTE)</t>
  </si>
  <si>
    <t>HR Projected Costs</t>
  </si>
  <si>
    <t>Difference</t>
  </si>
  <si>
    <t>STRS</t>
  </si>
  <si>
    <t>Salary $</t>
  </si>
  <si>
    <t>PERS</t>
  </si>
  <si>
    <t>Medicare</t>
  </si>
  <si>
    <t>Group Life</t>
  </si>
  <si>
    <t>Disability</t>
  </si>
  <si>
    <t>Unemployment Comp</t>
  </si>
  <si>
    <t>Workers Comp-UNIV/RF</t>
  </si>
  <si>
    <t>Workers Comp-Health System</t>
  </si>
  <si>
    <t>Other Benefit Admin Costs</t>
  </si>
  <si>
    <t>Student Insurance</t>
  </si>
  <si>
    <t>Medical Plans</t>
  </si>
  <si>
    <t>Headcount</t>
  </si>
  <si>
    <t>Affordable Care Act Fees</t>
  </si>
  <si>
    <t>HR projection includes ACA consulting</t>
  </si>
  <si>
    <t>Lifestyle Benefit</t>
  </si>
  <si>
    <t>Vision</t>
  </si>
  <si>
    <t>Dental</t>
  </si>
  <si>
    <t>Employee Tuition</t>
  </si>
  <si>
    <t>Dependent Tuition (UNIV-HS only)</t>
  </si>
  <si>
    <t>Total Projected Benefit Costs</t>
  </si>
  <si>
    <t>Projected Rates (excluding Stabilization DR/CR)</t>
  </si>
  <si>
    <t>Total Projected Benefit Costs - UNIV only</t>
  </si>
  <si>
    <t>Total Projected Salary/Wages - UNIV only</t>
  </si>
  <si>
    <t>Projected Combined Staff Rate (Unclassified and CCS)</t>
  </si>
  <si>
    <t>Projected Benefit Costs - RF Only:</t>
  </si>
  <si>
    <t>(UNIV/RF break-out by % of Projected Salary for Rates 1-4)</t>
  </si>
  <si>
    <t>(see below for Rate 5 % calc…)</t>
  </si>
  <si>
    <t>Rate 2</t>
  </si>
  <si>
    <t>Combined 5/6/7</t>
  </si>
  <si>
    <t>COBRA Admin/Other Admin Costs</t>
  </si>
  <si>
    <t>NOTE: No dependent tuition costs included in RF rates</t>
  </si>
  <si>
    <t>Total Projected Benefit Costs (excluding add-ons)</t>
  </si>
  <si>
    <t>Total Projected RF Salary/Wages</t>
  </si>
  <si>
    <t>Rate 5 - Student/Grad/Fellow Weighted Average:</t>
  </si>
  <si>
    <t>Projected UNIV</t>
  </si>
  <si>
    <t>Total Projected</t>
  </si>
  <si>
    <t>Projected</t>
  </si>
  <si>
    <t>RF Projected</t>
  </si>
  <si>
    <t>Salary</t>
  </si>
  <si>
    <t>UNIV Benefit</t>
  </si>
  <si>
    <t>Benefit Cost</t>
  </si>
  <si>
    <t>Benefit</t>
  </si>
  <si>
    <t>RF Salary</t>
  </si>
  <si>
    <t>(incl. RF)</t>
  </si>
  <si>
    <t>Costs (incl. RF)</t>
  </si>
  <si>
    <t>per $ of Salary</t>
  </si>
  <si>
    <t>Costs</t>
  </si>
  <si>
    <t>% for Proration</t>
  </si>
  <si>
    <t>Students (undergrads) and Fellows</t>
  </si>
  <si>
    <t>Graduate Assistants</t>
  </si>
  <si>
    <t xml:space="preserve">    Total for RF Rate 5</t>
  </si>
  <si>
    <t>Comparison of Full Benefit-Eligible Wage Bases (FY24 Proj vs FY25 Proj)</t>
  </si>
  <si>
    <t>Total</t>
  </si>
  <si>
    <t>FY24 Projected Wages</t>
  </si>
  <si>
    <t>FY25 Projected Wages</t>
  </si>
  <si>
    <t xml:space="preserve"> $ Difference</t>
  </si>
  <si>
    <t xml:space="preserve">  % Difference</t>
  </si>
  <si>
    <t>FY24 Projected Wages incremented for 3% AMCP</t>
  </si>
  <si>
    <t>FY25 Projected Wages, less 3% AMCP</t>
  </si>
  <si>
    <t>FY2024 Projected Wages</t>
  </si>
  <si>
    <t>University</t>
  </si>
  <si>
    <t>Hlth Syst</t>
  </si>
  <si>
    <t>OSP</t>
  </si>
  <si>
    <t>FGP</t>
  </si>
  <si>
    <t>RCP10</t>
  </si>
  <si>
    <t>RCP15</t>
  </si>
  <si>
    <t>RCP STRS/ARP/NewHire</t>
  </si>
  <si>
    <t>RCP25</t>
  </si>
  <si>
    <t>NCH</t>
  </si>
  <si>
    <t>Univ/OSUHS</t>
  </si>
  <si>
    <t>Univ</t>
  </si>
  <si>
    <t>RCP</t>
  </si>
  <si>
    <t>Staff Comb</t>
  </si>
  <si>
    <t>Student</t>
  </si>
  <si>
    <t>GA</t>
  </si>
  <si>
    <t>STRS/ARP</t>
  </si>
  <si>
    <t>Newhire</t>
  </si>
  <si>
    <t>MEDICARE</t>
  </si>
  <si>
    <t>Prime Care Advantage</t>
  </si>
  <si>
    <t>Prime Care Choice</t>
  </si>
  <si>
    <t>Out-Of-Area Plan</t>
  </si>
  <si>
    <t>Prime Care Connect</t>
  </si>
  <si>
    <t>Subtotal</t>
  </si>
  <si>
    <t>MEDICAL</t>
  </si>
  <si>
    <t>Benefit Admin</t>
  </si>
  <si>
    <t>GROUP LIFE</t>
  </si>
  <si>
    <t>LT DISABILITY</t>
  </si>
  <si>
    <t>UNEMPLOYMENT COMP.</t>
  </si>
  <si>
    <t>WORKERS COMP</t>
  </si>
  <si>
    <t>LIFESTYLE BENEFIT</t>
  </si>
  <si>
    <t>GROUP VISION</t>
  </si>
  <si>
    <t>GROUP DENTAL</t>
  </si>
  <si>
    <t>GA Hlth Ins Subsidy</t>
  </si>
  <si>
    <t>EMPLOYEE TUITION</t>
  </si>
  <si>
    <t>DEPENDENT TUITION</t>
  </si>
  <si>
    <t>PUBLISHED RATE</t>
  </si>
  <si>
    <t>Rate</t>
  </si>
  <si>
    <t>Name</t>
  </si>
  <si>
    <t>Project</t>
  </si>
  <si>
    <t>Fund</t>
  </si>
  <si>
    <t>Balancing Unit</t>
  </si>
  <si>
    <t>PJ106341</t>
  </si>
  <si>
    <t>FD111 Designated Other Fund</t>
  </si>
  <si>
    <t>BL1210 General University | OHR Benefits</t>
  </si>
  <si>
    <t>PJ106386</t>
  </si>
  <si>
    <t>PJ106284</t>
  </si>
  <si>
    <t>PJ106305</t>
  </si>
  <si>
    <t>PJ106410</t>
  </si>
  <si>
    <t>PJ106420</t>
  </si>
  <si>
    <t>PJ106421</t>
  </si>
  <si>
    <t>PJ106408</t>
  </si>
  <si>
    <t>Admin</t>
  </si>
  <si>
    <t>PJ106432</t>
  </si>
  <si>
    <t>PJ106406</t>
  </si>
  <si>
    <t>PJ106309</t>
  </si>
  <si>
    <t>PJ106419</t>
  </si>
  <si>
    <t>Workers Comp</t>
  </si>
  <si>
    <t>PJ106422</t>
  </si>
  <si>
    <t>PJ113341</t>
  </si>
  <si>
    <t>PJ106414</t>
  </si>
  <si>
    <t>PJ106401</t>
  </si>
  <si>
    <t>PJ106403</t>
  </si>
  <si>
    <t>PJ106400</t>
  </si>
  <si>
    <t>PJ106405</t>
  </si>
  <si>
    <t>TOTAL</t>
  </si>
  <si>
    <t>Check</t>
  </si>
  <si>
    <t>Student/GA</t>
  </si>
  <si>
    <t>In RCP</t>
  </si>
  <si>
    <t>Vacation/Sick</t>
  </si>
  <si>
    <t xml:space="preserve">  Subtotal - Base Rates (excluding RF add-ons)</t>
  </si>
  <si>
    <t>Add: Vac/Sick Termination Payments</t>
  </si>
  <si>
    <t>PJ108393</t>
  </si>
  <si>
    <t>BL1221 General University | Office of Sponsored Programs (OSP)</t>
  </si>
  <si>
    <t xml:space="preserve">  Total Negotiated RF Fringe Rates</t>
  </si>
  <si>
    <t>Salary Spend Cat</t>
  </si>
  <si>
    <t>Sal Spend Cat Description</t>
  </si>
  <si>
    <t>UNIV</t>
  </si>
  <si>
    <t>OSUHS</t>
  </si>
  <si>
    <t>SC10007</t>
  </si>
  <si>
    <t>Salaries | 9 month | Faculty Base | Clinical Track | Regular &gt;=50% (SC10007)</t>
  </si>
  <si>
    <t>SC10021</t>
  </si>
  <si>
    <t>Salaries | 9 month | Faculty Base |Research Track | Regular &gt;=50% (SC10021)</t>
  </si>
  <si>
    <t>SC10024</t>
  </si>
  <si>
    <t>Salaries | 9 month | Faculty Base | Tenure Track | Regular &gt;=50% (SC10024)</t>
  </si>
  <si>
    <t>SC10006</t>
  </si>
  <si>
    <t>Salaries | 12 month | Faculty Base | Clinical Track | Regular &gt;=50% (SC10006)</t>
  </si>
  <si>
    <t>SC10020</t>
  </si>
  <si>
    <t>Salaries | 12 month | Faculty Base | Research Track | Regular &gt;=50% (SC10020)</t>
  </si>
  <si>
    <t>SC10022</t>
  </si>
  <si>
    <t>Salaries | 12 month | Faculty Base | Tenure Track | Regular &gt;=50% (SC10022)</t>
  </si>
  <si>
    <t>SC10005</t>
  </si>
  <si>
    <t>Salaries | Clinical Instructor Base Health System | Regular or Term and &gt;=50% (SC10005)</t>
  </si>
  <si>
    <t>SC10010</t>
  </si>
  <si>
    <t>Salaries | Faculty Base |Term or Lecturers and &gt;=50% (SC10010)</t>
  </si>
  <si>
    <t>SC10001</t>
  </si>
  <si>
    <t>Salaries | Classified Civil Service Base | Regular &gt;=50% (SC10001)</t>
  </si>
  <si>
    <t>SC10008</t>
  </si>
  <si>
    <t>Salaries | Administrative Faculty Appointments Base | &gt;=50% (SC10008)</t>
  </si>
  <si>
    <t>SC10053</t>
  </si>
  <si>
    <t>Salaries | Unclassified Base | Regular &gt;=50% (SC10053)</t>
  </si>
  <si>
    <t>SC10056</t>
  </si>
  <si>
    <t>Salaries | Unclassified Base | Term &gt;=50% (SC10056)</t>
  </si>
  <si>
    <t>SC10057</t>
  </si>
  <si>
    <t>Salaries | Unclassified Base | Post Doctoral Scholar Base | Term &gt;=50% (SC10057)</t>
  </si>
  <si>
    <t>SC10004</t>
  </si>
  <si>
    <t>Salaries | Clinical Instructor Base Health System | Temporary &lt;50% (SC10004)</t>
  </si>
  <si>
    <t>SC10011</t>
  </si>
  <si>
    <t>Salaries | Faculty Base |  &lt;50% OR Temporary (SC10011)</t>
  </si>
  <si>
    <t>SC10002</t>
  </si>
  <si>
    <t>Salaries | Classified Civil Service Base | Regular &lt;50% OR Temporary (SC10002)</t>
  </si>
  <si>
    <t>SC10009</t>
  </si>
  <si>
    <t>Salaries | Administrative Faculty Appointments Base | &lt;50% (SC10009)</t>
  </si>
  <si>
    <t>SC10052</t>
  </si>
  <si>
    <t>Salaries | Unclassified Base | &lt; 50% OR Temporary (SC10052)</t>
  </si>
  <si>
    <t>SC10031</t>
  </si>
  <si>
    <t>Salaries | Student Non-FWS Biweekly Base | Underenrolled or Non OSU Student (SC10031)</t>
  </si>
  <si>
    <t>SC10049</t>
  </si>
  <si>
    <t>Salaries | Additional Pay with Retirement (SC10049)</t>
  </si>
  <si>
    <t>SC10050</t>
  </si>
  <si>
    <t>Salaries | Faculty Off Duty Pay (SC10050)</t>
  </si>
  <si>
    <t>SC10874</t>
  </si>
  <si>
    <t>Salaries | Compensatory Time Payout Current Year (SC10874)</t>
  </si>
  <si>
    <t>SC10003</t>
  </si>
  <si>
    <t>Salaries | Classified Civil Service Overtime (SC10003)</t>
  </si>
  <si>
    <t>SC10054</t>
  </si>
  <si>
    <t>Salaries | Unclassified Overtime (SC10054)</t>
  </si>
  <si>
    <t>SC10029</t>
  </si>
  <si>
    <t>Salaries | Student FWS Biweekly Base (SC10029)</t>
  </si>
  <si>
    <t>SC10030</t>
  </si>
  <si>
    <t>Salaries | Student Non-FWS Biweekly Base| Enrolled (SC10030)</t>
  </si>
  <si>
    <t>SC10032</t>
  </si>
  <si>
    <t>Salaries | Student Overtime (SC10032)</t>
  </si>
  <si>
    <t>SC10045</t>
  </si>
  <si>
    <t>Salaries | Additional Pay without Retirement (SC10045)</t>
  </si>
  <si>
    <t>SC10046</t>
  </si>
  <si>
    <t>Salaries | Retirement Incentive (SC10046)</t>
  </si>
  <si>
    <t>SC10875</t>
  </si>
  <si>
    <t>Salaries | Compensatory Time Payout Previous Year (SC10875)</t>
  </si>
  <si>
    <t>SC10026</t>
  </si>
  <si>
    <t>Salaries | Graduate Administrative Associate (SC10026)</t>
  </si>
  <si>
    <t>SC10027</t>
  </si>
  <si>
    <t>Salaries | Graduate Research Associate (SC10027)</t>
  </si>
  <si>
    <t>SC10028</t>
  </si>
  <si>
    <t>Salaries | Graduate Teaching Associate (SC10028)</t>
  </si>
  <si>
    <t>SC10373</t>
  </si>
  <si>
    <t>Student Fellowships (SC10373)</t>
  </si>
  <si>
    <t>SC10025</t>
  </si>
  <si>
    <t>Salaries | 9 month | Faculty Base |Nationwide Children's Hospital (SC10025)</t>
  </si>
  <si>
    <t>SC10023</t>
  </si>
  <si>
    <t>Salaries | 12 month | Faculty Base | Nationwide Children's Hospital (SC10023)</t>
  </si>
  <si>
    <t>FGP (New Hires/STRS/Formely SCN)</t>
  </si>
  <si>
    <t>SC10012</t>
  </si>
  <si>
    <t>Salaries | FGP Base Base New Hires (SC10012)</t>
  </si>
  <si>
    <t>SC10019</t>
  </si>
  <si>
    <t>Salaries | FGP Base subject to STRS/ARP (SC10019)</t>
  </si>
  <si>
    <t>SC10014</t>
  </si>
  <si>
    <t>Salaries | FGP Base Formerly Specialty Care Network (SC10014)</t>
  </si>
  <si>
    <t>FGP Rate 10</t>
  </si>
  <si>
    <t>SC10013</t>
  </si>
  <si>
    <t>Salaries | FGP Base subject to RCP10 (SC10013)</t>
  </si>
  <si>
    <t>FGP Rate 15</t>
  </si>
  <si>
    <t>SC10015</t>
  </si>
  <si>
    <t>Salaries | FGP Base subject to RCP15 (SC10015)</t>
  </si>
  <si>
    <t>FGP Rate 25</t>
  </si>
  <si>
    <t>SC10017</t>
  </si>
  <si>
    <t>Salaries | FGP Base subject to RCP25 (SC10017)</t>
  </si>
  <si>
    <t>Salary Year or FY27</t>
  </si>
  <si>
    <t>Salary Year 2027 Rates*</t>
  </si>
  <si>
    <t>OSP*</t>
  </si>
  <si>
    <t>* OSP Rates are the University's proposed rates for FY2027</t>
  </si>
  <si>
    <t>The OSP rates still need to be negotiated with Dept of Health and Human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</si>
</sst>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Garamond"/>
      <family val="1"/>
    </font>
    <font>
      <b/>
      <sz val="10"/>
      <name val="Garamond"/>
      <family val="1"/>
    </font>
    <font>
      <sz val="10"/>
      <name val="Arial Unicode MS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6" fillId="0" borderId="0"/>
  </cellStyleXfs>
  <cellXfs count="97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1" applyNumberFormat="1" applyFont="1"/>
    <xf numFmtId="0" fontId="0" fillId="2" borderId="0" xfId="0" applyFill="1" applyAlignment="1">
      <alignment horizontal="center"/>
    </xf>
    <xf numFmtId="39" fontId="0" fillId="0" borderId="0" xfId="0" applyNumberFormat="1"/>
    <xf numFmtId="165" fontId="0" fillId="0" borderId="0" xfId="3" applyNumberFormat="1" applyFont="1"/>
    <xf numFmtId="0" fontId="0" fillId="0" borderId="4" xfId="0" applyBorder="1" applyAlignment="1">
      <alignment horizontal="center"/>
    </xf>
    <xf numFmtId="0" fontId="2" fillId="2" borderId="0" xfId="0" applyFont="1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3" fontId="0" fillId="0" borderId="0" xfId="0" applyNumberFormat="1"/>
    <xf numFmtId="10" fontId="0" fillId="0" borderId="0" xfId="0" applyNumberFormat="1"/>
    <xf numFmtId="164" fontId="0" fillId="0" borderId="0" xfId="0" applyNumberFormat="1"/>
    <xf numFmtId="164" fontId="0" fillId="2" borderId="0" xfId="1" applyNumberFormat="1" applyFont="1" applyFill="1"/>
    <xf numFmtId="166" fontId="0" fillId="0" borderId="0" xfId="2" applyNumberFormat="1" applyFont="1"/>
    <xf numFmtId="164" fontId="0" fillId="0" borderId="6" xfId="1" applyNumberFormat="1" applyFont="1" applyBorder="1"/>
    <xf numFmtId="164" fontId="0" fillId="0" borderId="4" xfId="0" applyNumberFormat="1" applyBorder="1"/>
    <xf numFmtId="164" fontId="0" fillId="0" borderId="0" xfId="1" applyNumberFormat="1" applyFont="1" applyBorder="1"/>
    <xf numFmtId="165" fontId="1" fillId="0" borderId="0" xfId="3" applyNumberFormat="1" applyFont="1" applyBorder="1"/>
    <xf numFmtId="165" fontId="0" fillId="0" borderId="0" xfId="3" applyNumberFormat="1" applyFont="1" applyBorder="1"/>
    <xf numFmtId="165" fontId="1" fillId="0" borderId="4" xfId="3" applyNumberFormat="1" applyFont="1" applyBorder="1"/>
    <xf numFmtId="165" fontId="1" fillId="0" borderId="0" xfId="3" applyNumberFormat="1" applyFont="1" applyBorder="1" applyAlignment="1">
      <alignment horizontal="center"/>
    </xf>
    <xf numFmtId="10" fontId="0" fillId="0" borderId="0" xfId="3" applyNumberFormat="1" applyFont="1" applyAlignment="1">
      <alignment horizontal="center"/>
    </xf>
    <xf numFmtId="10" fontId="0" fillId="0" borderId="4" xfId="3" applyNumberFormat="1" applyFont="1" applyBorder="1" applyAlignment="1">
      <alignment horizontal="center"/>
    </xf>
    <xf numFmtId="43" fontId="0" fillId="0" borderId="0" xfId="0" applyNumberFormat="1"/>
    <xf numFmtId="0" fontId="0" fillId="3" borderId="0" xfId="0" applyFill="1"/>
    <xf numFmtId="164" fontId="0" fillId="0" borderId="6" xfId="0" applyNumberFormat="1" applyBorder="1"/>
    <xf numFmtId="164" fontId="0" fillId="0" borderId="7" xfId="1" applyNumberFormat="1" applyFont="1" applyBorder="1"/>
    <xf numFmtId="37" fontId="0" fillId="0" borderId="5" xfId="0" applyNumberFormat="1" applyBorder="1" applyAlignment="1">
      <alignment horizontal="center"/>
    </xf>
    <xf numFmtId="43" fontId="0" fillId="0" borderId="0" xfId="1" applyFont="1"/>
    <xf numFmtId="164" fontId="0" fillId="0" borderId="5" xfId="1" applyNumberFormat="1" applyFont="1" applyBorder="1"/>
    <xf numFmtId="164" fontId="0" fillId="0" borderId="4" xfId="1" applyNumberFormat="1" applyFont="1" applyBorder="1"/>
    <xf numFmtId="10" fontId="0" fillId="0" borderId="4" xfId="3" applyNumberFormat="1" applyFont="1" applyBorder="1"/>
    <xf numFmtId="164" fontId="0" fillId="0" borderId="5" xfId="0" applyNumberFormat="1" applyBorder="1"/>
    <xf numFmtId="165" fontId="2" fillId="0" borderId="0" xfId="3" applyNumberFormat="1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4" fillId="0" borderId="8" xfId="0" applyFont="1" applyBorder="1"/>
    <xf numFmtId="0" fontId="4" fillId="0" borderId="9" xfId="0" applyFont="1" applyBorder="1"/>
    <xf numFmtId="165" fontId="0" fillId="4" borderId="0" xfId="3" applyNumberFormat="1" applyFont="1" applyFill="1"/>
    <xf numFmtId="0" fontId="0" fillId="4" borderId="0" xfId="0" applyFill="1"/>
    <xf numFmtId="165" fontId="0" fillId="0" borderId="0" xfId="3" applyNumberFormat="1" applyFont="1" applyFill="1"/>
    <xf numFmtId="0" fontId="5" fillId="5" borderId="10" xfId="0" applyFont="1" applyFill="1" applyBorder="1"/>
    <xf numFmtId="0" fontId="4" fillId="0" borderId="0" xfId="0" applyFont="1"/>
    <xf numFmtId="0" fontId="5" fillId="5" borderId="4" xfId="0" applyFont="1" applyFill="1" applyBorder="1"/>
    <xf numFmtId="165" fontId="0" fillId="0" borderId="0" xfId="0" applyNumberFormat="1"/>
    <xf numFmtId="0" fontId="1" fillId="0" borderId="0" xfId="4" applyFont="1"/>
    <xf numFmtId="0" fontId="2" fillId="0" borderId="0" xfId="4"/>
    <xf numFmtId="0" fontId="2" fillId="0" borderId="0" xfId="4" quotePrefix="1"/>
    <xf numFmtId="0" fontId="2" fillId="4" borderId="0" xfId="4" applyFill="1"/>
    <xf numFmtId="0" fontId="2" fillId="4" borderId="0" xfId="4" quotePrefix="1" applyFill="1"/>
    <xf numFmtId="0" fontId="0" fillId="0" borderId="0" xfId="0" applyAlignment="1">
      <alignment vertical="top" wrapText="1"/>
    </xf>
    <xf numFmtId="0" fontId="5" fillId="0" borderId="4" xfId="0" applyFont="1" applyBorder="1"/>
    <xf numFmtId="0" fontId="5" fillId="0" borderId="0" xfId="0" applyFont="1"/>
    <xf numFmtId="165" fontId="0" fillId="0" borderId="4" xfId="3" applyNumberFormat="1" applyFont="1" applyBorder="1"/>
    <xf numFmtId="0" fontId="4" fillId="4" borderId="0" xfId="0" applyFont="1" applyFill="1"/>
    <xf numFmtId="0" fontId="2" fillId="0" borderId="0" xfId="4" applyAlignment="1">
      <alignment horizontal="center" wrapText="1"/>
    </xf>
    <xf numFmtId="0" fontId="2" fillId="0" borderId="0" xfId="4" applyAlignment="1">
      <alignment wrapText="1"/>
    </xf>
    <xf numFmtId="165" fontId="1" fillId="0" borderId="11" xfId="3" applyNumberFormat="1" applyFont="1" applyBorder="1" applyAlignment="1">
      <alignment horizontal="centerContinuous"/>
    </xf>
    <xf numFmtId="165" fontId="1" fillId="0" borderId="12" xfId="3" applyNumberFormat="1" applyFont="1" applyBorder="1" applyAlignment="1">
      <alignment horizontal="centerContinuous"/>
    </xf>
    <xf numFmtId="165" fontId="1" fillId="0" borderId="13" xfId="3" applyNumberFormat="1" applyFont="1" applyFill="1" applyBorder="1" applyAlignment="1">
      <alignment horizontal="centerContinuous"/>
    </xf>
    <xf numFmtId="0" fontId="1" fillId="0" borderId="0" xfId="4" applyFont="1" applyAlignment="1">
      <alignment horizontal="center" wrapText="1"/>
    </xf>
    <xf numFmtId="0" fontId="1" fillId="0" borderId="0" xfId="4" applyFont="1" applyAlignment="1">
      <alignment wrapText="1"/>
    </xf>
    <xf numFmtId="165" fontId="1" fillId="0" borderId="14" xfId="3" applyNumberFormat="1" applyFont="1" applyBorder="1" applyAlignment="1">
      <alignment horizontal="center"/>
    </xf>
    <xf numFmtId="165" fontId="1" fillId="0" borderId="14" xfId="3" applyNumberFormat="1" applyFont="1" applyFill="1" applyBorder="1" applyAlignment="1">
      <alignment horizontal="center"/>
    </xf>
    <xf numFmtId="0" fontId="1" fillId="0" borderId="15" xfId="4" applyFont="1" applyBorder="1"/>
    <xf numFmtId="0" fontId="2" fillId="0" borderId="16" xfId="4" applyBorder="1" applyAlignment="1">
      <alignment horizontal="center" wrapText="1"/>
    </xf>
    <xf numFmtId="0" fontId="2" fillId="0" borderId="16" xfId="4" applyBorder="1" applyAlignment="1">
      <alignment wrapText="1"/>
    </xf>
    <xf numFmtId="165" fontId="0" fillId="0" borderId="14" xfId="3" applyNumberFormat="1" applyFont="1" applyBorder="1" applyAlignment="1">
      <alignment horizontal="center"/>
    </xf>
    <xf numFmtId="165" fontId="0" fillId="0" borderId="14" xfId="3" applyNumberFormat="1" applyFont="1" applyFill="1" applyBorder="1" applyAlignment="1">
      <alignment horizontal="center"/>
    </xf>
    <xf numFmtId="0" fontId="2" fillId="0" borderId="17" xfId="4" applyBorder="1"/>
    <xf numFmtId="0" fontId="6" fillId="0" borderId="0" xfId="5" applyAlignment="1">
      <alignment horizontal="center" wrapText="1"/>
    </xf>
    <xf numFmtId="165" fontId="0" fillId="0" borderId="18" xfId="3" applyNumberFormat="1" applyFont="1" applyBorder="1" applyAlignment="1">
      <alignment horizontal="center"/>
    </xf>
    <xf numFmtId="0" fontId="2" fillId="0" borderId="19" xfId="4" applyBorder="1"/>
    <xf numFmtId="0" fontId="6" fillId="0" borderId="20" xfId="5" applyBorder="1" applyAlignment="1">
      <alignment horizontal="center" wrapText="1"/>
    </xf>
    <xf numFmtId="0" fontId="2" fillId="0" borderId="20" xfId="4" applyBorder="1" applyAlignment="1">
      <alignment wrapText="1"/>
    </xf>
    <xf numFmtId="165" fontId="0" fillId="0" borderId="21" xfId="3" applyNumberFormat="1" applyFont="1" applyBorder="1" applyAlignment="1">
      <alignment horizontal="center"/>
    </xf>
    <xf numFmtId="0" fontId="3" fillId="0" borderId="15" xfId="4" applyFont="1" applyBorder="1"/>
    <xf numFmtId="165" fontId="0" fillId="0" borderId="18" xfId="3" applyNumberFormat="1" applyFont="1" applyFill="1" applyBorder="1" applyAlignment="1">
      <alignment horizontal="center"/>
    </xf>
    <xf numFmtId="165" fontId="0" fillId="0" borderId="21" xfId="3" applyNumberFormat="1" applyFont="1" applyFill="1" applyBorder="1" applyAlignment="1">
      <alignment horizontal="center"/>
    </xf>
    <xf numFmtId="0" fontId="3" fillId="0" borderId="11" xfId="4" applyFont="1" applyBorder="1"/>
    <xf numFmtId="0" fontId="2" fillId="0" borderId="12" xfId="4" applyBorder="1" applyAlignment="1">
      <alignment horizontal="center" wrapText="1"/>
    </xf>
    <xf numFmtId="0" fontId="2" fillId="0" borderId="12" xfId="4" applyBorder="1" applyAlignment="1">
      <alignment wrapText="1"/>
    </xf>
    <xf numFmtId="165" fontId="0" fillId="0" borderId="22" xfId="3" applyNumberFormat="1" applyFont="1" applyBorder="1" applyAlignment="1">
      <alignment horizontal="center"/>
    </xf>
    <xf numFmtId="165" fontId="0" fillId="0" borderId="22" xfId="3" applyNumberFormat="1" applyFont="1" applyFill="1" applyBorder="1" applyAlignment="1">
      <alignment horizontal="center"/>
    </xf>
    <xf numFmtId="0" fontId="1" fillId="0" borderId="11" xfId="4" applyFont="1" applyBorder="1"/>
    <xf numFmtId="165" fontId="0" fillId="0" borderId="0" xfId="3" applyNumberFormat="1" applyFont="1" applyAlignment="1">
      <alignment horizontal="center"/>
    </xf>
    <xf numFmtId="165" fontId="0" fillId="0" borderId="0" xfId="3" applyNumberFormat="1" applyFont="1" applyFill="1" applyAlignment="1">
      <alignment horizontal="center"/>
    </xf>
    <xf numFmtId="0" fontId="7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 2" xfId="4" xr:uid="{88718A90-6AA2-41E3-80DD-EC9B1C5917BC}"/>
    <cellStyle name="Normal 2 2" xfId="5" xr:uid="{E96195E2-C505-4154-9221-0AD6F5FC8761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20B68-E38C-413C-A846-6E111F3179C3}">
  <dimension ref="A1:D33"/>
  <sheetViews>
    <sheetView tabSelected="1" workbookViewId="0">
      <selection activeCell="A34" sqref="A34"/>
    </sheetView>
  </sheetViews>
  <sheetFormatPr defaultRowHeight="12.75"/>
  <cols>
    <col min="1" max="1" width="21.85546875" bestFit="1" customWidth="1"/>
    <col min="2" max="2" width="11.28515625" style="6" bestFit="1" customWidth="1"/>
  </cols>
  <sheetData>
    <row r="1" spans="1:2" ht="15.75">
      <c r="A1" s="93" t="s">
        <v>270</v>
      </c>
    </row>
    <row r="3" spans="1:2">
      <c r="A3" s="1" t="s">
        <v>103</v>
      </c>
    </row>
    <row r="4" spans="1:2">
      <c r="A4" t="s">
        <v>18</v>
      </c>
      <c r="B4" s="6">
        <v>0.30099999999999999</v>
      </c>
    </row>
    <row r="5" spans="1:2">
      <c r="A5" t="s">
        <v>20</v>
      </c>
      <c r="B5" s="6">
        <v>0.38800000000000001</v>
      </c>
    </row>
    <row r="6" spans="1:2">
      <c r="A6" t="s">
        <v>24</v>
      </c>
      <c r="B6" s="6">
        <v>0.157</v>
      </c>
    </row>
    <row r="7" spans="1:2">
      <c r="A7" t="s">
        <v>26</v>
      </c>
      <c r="B7" s="6">
        <v>3.0000000000000001E-3</v>
      </c>
    </row>
    <row r="8" spans="1:2">
      <c r="A8" t="s">
        <v>30</v>
      </c>
      <c r="B8" s="6">
        <v>0.13200000000000001</v>
      </c>
    </row>
    <row r="10" spans="1:2">
      <c r="A10" s="1" t="s">
        <v>104</v>
      </c>
    </row>
    <row r="11" spans="1:2">
      <c r="A11" t="s">
        <v>18</v>
      </c>
      <c r="B11" s="6">
        <v>0.39400000000000002</v>
      </c>
    </row>
    <row r="12" spans="1:2">
      <c r="A12" t="s">
        <v>20</v>
      </c>
      <c r="B12" s="6">
        <v>0.377</v>
      </c>
    </row>
    <row r="13" spans="1:2">
      <c r="A13" t="s">
        <v>24</v>
      </c>
      <c r="B13" s="6">
        <v>0.159</v>
      </c>
    </row>
    <row r="14" spans="1:2">
      <c r="A14" t="s">
        <v>26</v>
      </c>
      <c r="B14" s="6">
        <v>5.0000000000000001E-3</v>
      </c>
    </row>
    <row r="15" spans="1:2">
      <c r="A15" t="s">
        <v>30</v>
      </c>
      <c r="B15" s="6">
        <v>0.13400000000000001</v>
      </c>
    </row>
    <row r="17" spans="1:4">
      <c r="A17" s="1" t="s">
        <v>271</v>
      </c>
    </row>
    <row r="18" spans="1:4">
      <c r="A18" t="s">
        <v>18</v>
      </c>
      <c r="B18" s="6">
        <v>0.311</v>
      </c>
    </row>
    <row r="19" spans="1:4">
      <c r="A19" t="s">
        <v>20</v>
      </c>
      <c r="B19" s="6">
        <v>0.39400000000000002</v>
      </c>
    </row>
    <row r="20" spans="1:4">
      <c r="A20" t="s">
        <v>24</v>
      </c>
      <c r="B20" s="6">
        <v>0.159</v>
      </c>
    </row>
    <row r="21" spans="1:4">
      <c r="A21" t="s">
        <v>26</v>
      </c>
      <c r="B21" s="6">
        <v>0.15</v>
      </c>
      <c r="D21" s="2"/>
    </row>
    <row r="23" spans="1:4">
      <c r="A23" s="1" t="s">
        <v>106</v>
      </c>
    </row>
    <row r="24" spans="1:4">
      <c r="A24" t="s">
        <v>107</v>
      </c>
      <c r="B24" s="6">
        <v>0.14899999999999999</v>
      </c>
    </row>
    <row r="25" spans="1:4">
      <c r="A25" t="s">
        <v>108</v>
      </c>
      <c r="B25" s="6">
        <v>0.19900000000000001</v>
      </c>
    </row>
    <row r="26" spans="1:4">
      <c r="A26" t="s">
        <v>109</v>
      </c>
      <c r="B26" s="6">
        <v>0.189</v>
      </c>
    </row>
    <row r="27" spans="1:4">
      <c r="A27" t="s">
        <v>110</v>
      </c>
      <c r="B27" s="6">
        <v>0.24299999999999999</v>
      </c>
    </row>
    <row r="29" spans="1:4">
      <c r="A29" s="1" t="s">
        <v>111</v>
      </c>
      <c r="B29" s="38" t="s">
        <v>112</v>
      </c>
      <c r="C29" s="39" t="s">
        <v>105</v>
      </c>
    </row>
    <row r="30" spans="1:4">
      <c r="B30" s="6">
        <v>0.18</v>
      </c>
      <c r="C30" s="6">
        <f>B20</f>
        <v>0.159</v>
      </c>
    </row>
    <row r="32" spans="1:4">
      <c r="A32" s="2" t="s">
        <v>272</v>
      </c>
    </row>
    <row r="33" spans="1:1">
      <c r="A33" t="s">
        <v>273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27847-7AF2-4270-A495-A2DEF7C0EB01}">
  <dimension ref="A1:R29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29" sqref="A29"/>
    </sheetView>
  </sheetViews>
  <sheetFormatPr defaultRowHeight="12.75"/>
  <cols>
    <col min="1" max="1" width="23.140625" bestFit="1" customWidth="1"/>
    <col min="2" max="6" width="10.7109375" customWidth="1"/>
    <col min="7" max="7" width="3.5703125" customWidth="1"/>
    <col min="8" max="12" width="10.7109375" customWidth="1"/>
    <col min="13" max="13" width="3.140625" customWidth="1"/>
    <col min="14" max="14" width="23.140625" bestFit="1" customWidth="1"/>
    <col min="15" max="18" width="10.7109375" customWidth="1"/>
  </cols>
  <sheetData>
    <row r="1" spans="1:18">
      <c r="O1" t="s">
        <v>106</v>
      </c>
    </row>
    <row r="2" spans="1:18">
      <c r="B2" s="40" t="s">
        <v>113</v>
      </c>
      <c r="C2" s="41"/>
      <c r="D2" s="41"/>
      <c r="E2" s="41"/>
      <c r="F2" s="41"/>
      <c r="H2" s="40" t="s">
        <v>35</v>
      </c>
      <c r="I2" s="41"/>
      <c r="J2" s="41"/>
      <c r="K2" s="41"/>
      <c r="L2" s="41"/>
      <c r="O2" s="40"/>
      <c r="P2" s="40"/>
      <c r="Q2" s="2" t="s">
        <v>114</v>
      </c>
      <c r="R2" s="40"/>
    </row>
    <row r="3" spans="1:18">
      <c r="B3" s="2" t="s">
        <v>9</v>
      </c>
      <c r="C3" s="2" t="s">
        <v>115</v>
      </c>
      <c r="D3" s="2" t="s">
        <v>12</v>
      </c>
      <c r="E3" s="2" t="s">
        <v>116</v>
      </c>
      <c r="F3" s="2" t="s">
        <v>117</v>
      </c>
      <c r="H3" s="2" t="s">
        <v>9</v>
      </c>
      <c r="I3" s="2" t="s">
        <v>115</v>
      </c>
      <c r="J3" s="2" t="s">
        <v>12</v>
      </c>
      <c r="K3" s="2" t="s">
        <v>116</v>
      </c>
      <c r="L3" s="2" t="s">
        <v>117</v>
      </c>
      <c r="O3" s="2"/>
      <c r="P3" s="2"/>
      <c r="Q3" s="2" t="s">
        <v>118</v>
      </c>
      <c r="R3" s="2"/>
    </row>
    <row r="4" spans="1:18">
      <c r="B4" s="2" t="s">
        <v>18</v>
      </c>
      <c r="C4" s="2" t="s">
        <v>20</v>
      </c>
      <c r="D4" s="2" t="s">
        <v>24</v>
      </c>
      <c r="E4" s="2" t="s">
        <v>26</v>
      </c>
      <c r="F4" s="2" t="s">
        <v>30</v>
      </c>
      <c r="H4" s="2" t="s">
        <v>18</v>
      </c>
      <c r="I4" s="2" t="s">
        <v>20</v>
      </c>
      <c r="J4" s="2" t="s">
        <v>24</v>
      </c>
      <c r="K4" s="2" t="s">
        <v>26</v>
      </c>
      <c r="L4" s="2" t="s">
        <v>30</v>
      </c>
      <c r="O4" s="2" t="s">
        <v>107</v>
      </c>
      <c r="P4" s="2" t="s">
        <v>108</v>
      </c>
      <c r="Q4" s="2" t="s">
        <v>119</v>
      </c>
      <c r="R4" s="2" t="s">
        <v>110</v>
      </c>
    </row>
    <row r="5" spans="1:18">
      <c r="A5" s="42" t="s">
        <v>42</v>
      </c>
      <c r="B5" s="6">
        <f>ROUND(((fy27_summary_bnft_projection!D18-fy27_summary_bnft_projection!D56)/fy27_summary_bnft_projection!$D$44),3)</f>
        <v>0.14000000000000001</v>
      </c>
      <c r="C5" s="6">
        <v>0</v>
      </c>
      <c r="D5" s="6">
        <f>ROUND(((fy27_summary_bnft_projection!K18-fy27_summary_bnft_projection!G56)/fy27_summary_bnft_projection!$K$44),3)-0.0007</f>
        <v>0.13930000000000001</v>
      </c>
      <c r="E5" s="6">
        <v>0</v>
      </c>
      <c r="F5" s="6">
        <v>0</v>
      </c>
      <c r="H5" s="6">
        <f>ROUND((fy27_summary_bnft_projection!E18/fy27_summary_bnft_projection!$E$13),3)</f>
        <v>0.14000000000000001</v>
      </c>
      <c r="I5" s="6">
        <f>ROUND((fy27_summary_bnft_projection!G18/fy27_summary_bnft_projection!$G$13),3)</f>
        <v>0</v>
      </c>
      <c r="J5" s="6">
        <f>ROUND((fy27_summary_bnft_projection!L18/fy27_summary_bnft_projection!$L$13),3)-0.0006</f>
        <v>0.13940000000000002</v>
      </c>
      <c r="K5" s="6">
        <v>0</v>
      </c>
      <c r="L5" s="6">
        <v>0</v>
      </c>
      <c r="N5" s="42" t="s">
        <v>114</v>
      </c>
      <c r="O5" s="6">
        <v>0.1</v>
      </c>
      <c r="P5" s="6">
        <v>0.15</v>
      </c>
      <c r="Q5" s="6">
        <v>0</v>
      </c>
      <c r="R5" s="6">
        <v>0.19400000000000001</v>
      </c>
    </row>
    <row r="6" spans="1:18">
      <c r="A6" s="43" t="s">
        <v>44</v>
      </c>
      <c r="B6" s="6">
        <v>0</v>
      </c>
      <c r="C6" s="6">
        <f>ROUND(((fy27_summary_bnft_projection!F19-fy27_summary_bnft_projection!E57)/fy27_summary_bnft_projection!$F$44),3)</f>
        <v>0.14000000000000001</v>
      </c>
      <c r="D6" s="6">
        <v>0</v>
      </c>
      <c r="E6" s="6">
        <v>0</v>
      </c>
      <c r="F6" s="6">
        <v>0</v>
      </c>
      <c r="H6" s="6">
        <f>ROUND((fy27_summary_bnft_projection!E19/fy27_summary_bnft_projection!$E$13),3)</f>
        <v>0</v>
      </c>
      <c r="I6" s="6">
        <f>ROUND((fy27_summary_bnft_projection!G19/fy27_summary_bnft_projection!$G$13),3)</f>
        <v>0.14000000000000001</v>
      </c>
      <c r="J6" s="6">
        <f>ROUND((fy27_summary_bnft_projection!L19/fy27_summary_bnft_projection!$L$13),3)</f>
        <v>0</v>
      </c>
      <c r="K6" s="6">
        <v>0</v>
      </c>
      <c r="L6" s="6">
        <v>0</v>
      </c>
      <c r="N6" s="43" t="s">
        <v>42</v>
      </c>
      <c r="O6" s="6">
        <v>0</v>
      </c>
      <c r="P6" s="6">
        <v>0</v>
      </c>
      <c r="Q6" s="6">
        <v>0.14000000000000001</v>
      </c>
      <c r="R6" s="6">
        <v>0</v>
      </c>
    </row>
    <row r="7" spans="1:18">
      <c r="A7" s="43" t="s">
        <v>120</v>
      </c>
      <c r="B7" s="6">
        <f>ROUND(((fy27_summary_bnft_projection!D20-fy27_summary_bnft_projection!D58)/fy27_summary_bnft_projection!$D$44),3)</f>
        <v>1.4999999999999999E-2</v>
      </c>
      <c r="C7" s="6">
        <f>ROUND(((fy27_summary_bnft_projection!F20-fy27_summary_bnft_projection!E58)/fy27_summary_bnft_projection!$F$44),3)</f>
        <v>1.4999999999999999E-2</v>
      </c>
      <c r="D7" s="6">
        <f>ROUND(((fy27_summary_bnft_projection!K20-fy27_summary_bnft_projection!G58)/fy27_summary_bnft_projection!$K$44),3)</f>
        <v>1.4999999999999999E-2</v>
      </c>
      <c r="E7" s="6">
        <v>0</v>
      </c>
      <c r="F7" s="6">
        <v>0</v>
      </c>
      <c r="H7" s="6">
        <f>ROUND((fy27_summary_bnft_projection!E20/fy27_summary_bnft_projection!$E$13),3)</f>
        <v>1.4999999999999999E-2</v>
      </c>
      <c r="I7" s="6">
        <f>ROUND((fy27_summary_bnft_projection!G20/fy27_summary_bnft_projection!$G$13),3)</f>
        <v>1.4999999999999999E-2</v>
      </c>
      <c r="J7" s="6">
        <f>ROUND((fy27_summary_bnft_projection!L20/fy27_summary_bnft_projection!$L$13),3)</f>
        <v>1.4999999999999999E-2</v>
      </c>
      <c r="K7" s="6">
        <v>0</v>
      </c>
      <c r="L7" s="6">
        <v>0</v>
      </c>
      <c r="N7" s="43" t="s">
        <v>120</v>
      </c>
      <c r="O7" s="6">
        <f>ROUND((fy27_summary_bnft_projection!H20/fy27_summary_bnft_projection!$H$13),3)</f>
        <v>1.4999999999999999E-2</v>
      </c>
      <c r="P7" s="6">
        <f>O7</f>
        <v>1.4999999999999999E-2</v>
      </c>
      <c r="Q7" s="6">
        <f>O7</f>
        <v>1.4999999999999999E-2</v>
      </c>
      <c r="R7" s="6">
        <f>O7</f>
        <v>1.4999999999999999E-2</v>
      </c>
    </row>
    <row r="8" spans="1:18">
      <c r="A8" s="44" t="s">
        <v>121</v>
      </c>
      <c r="B8" s="44">
        <f>ROUND(0.86*$B$13,3)+0.0005</f>
        <v>0.1055</v>
      </c>
      <c r="C8" s="44">
        <f>ROUND(0.86*$C$13,3)</f>
        <v>0.17100000000000001</v>
      </c>
      <c r="D8" s="44">
        <v>0</v>
      </c>
      <c r="E8" s="44">
        <v>0</v>
      </c>
      <c r="F8" s="44">
        <v>0</v>
      </c>
      <c r="G8" s="45"/>
      <c r="H8" s="44">
        <f>ROUND(0.86*$H$13,3)+0.0005</f>
        <v>0.17549999999999999</v>
      </c>
      <c r="I8" s="44">
        <f>ROUND(0.86*$I$13,3)</f>
        <v>0.161</v>
      </c>
      <c r="J8" s="44">
        <v>0</v>
      </c>
      <c r="K8" s="44">
        <v>0</v>
      </c>
      <c r="L8" s="44">
        <v>0</v>
      </c>
      <c r="N8" s="44" t="s">
        <v>121</v>
      </c>
      <c r="O8" s="44">
        <f>ROUND(0.863*$O13,3)-0.001</f>
        <v>1.9E-2</v>
      </c>
      <c r="P8" s="44">
        <f t="shared" ref="P8:P24" si="0">O8</f>
        <v>1.9E-2</v>
      </c>
      <c r="Q8" s="44">
        <f t="shared" ref="Q8:Q24" si="1">O8</f>
        <v>1.9E-2</v>
      </c>
      <c r="R8" s="44">
        <f t="shared" ref="R8:R24" si="2">O8</f>
        <v>1.9E-2</v>
      </c>
    </row>
    <row r="9" spans="1:18">
      <c r="A9" s="44" t="s">
        <v>122</v>
      </c>
      <c r="B9" s="44">
        <f>ROUND(0.12*$B$13,3)</f>
        <v>1.4999999999999999E-2</v>
      </c>
      <c r="C9" s="44">
        <f>ROUND(0.12*$C$13,3)</f>
        <v>2.4E-2</v>
      </c>
      <c r="D9" s="44">
        <v>0</v>
      </c>
      <c r="E9" s="44">
        <v>0</v>
      </c>
      <c r="F9" s="44">
        <v>0</v>
      </c>
      <c r="G9" s="45"/>
      <c r="H9" s="44">
        <f>ROUND(0.12*$H$13,3)</f>
        <v>2.4E-2</v>
      </c>
      <c r="I9" s="44">
        <f>ROUND(0.12*$I$13,3)</f>
        <v>2.3E-2</v>
      </c>
      <c r="J9" s="44">
        <v>0</v>
      </c>
      <c r="K9" s="44">
        <v>0</v>
      </c>
      <c r="L9" s="44">
        <v>0</v>
      </c>
      <c r="N9" s="44" t="s">
        <v>122</v>
      </c>
      <c r="O9" s="44">
        <f>ROUND(0.118*$O$13,3)</f>
        <v>3.0000000000000001E-3</v>
      </c>
      <c r="P9" s="44">
        <f t="shared" si="0"/>
        <v>3.0000000000000001E-3</v>
      </c>
      <c r="Q9" s="44">
        <f t="shared" si="1"/>
        <v>3.0000000000000001E-3</v>
      </c>
      <c r="R9" s="44">
        <f t="shared" si="2"/>
        <v>3.0000000000000001E-3</v>
      </c>
    </row>
    <row r="10" spans="1:18">
      <c r="A10" s="44" t="s">
        <v>123</v>
      </c>
      <c r="B10" s="44">
        <f>ROUND(0.01*$B$13,3)</f>
        <v>1E-3</v>
      </c>
      <c r="C10" s="44">
        <f>ROUND(0.01*$C$13,3)</f>
        <v>2E-3</v>
      </c>
      <c r="D10" s="44">
        <v>0</v>
      </c>
      <c r="E10" s="44">
        <v>0</v>
      </c>
      <c r="F10" s="44">
        <v>0</v>
      </c>
      <c r="G10" s="45"/>
      <c r="H10" s="44">
        <f>ROUND(0.01*$H$13,3)</f>
        <v>2E-3</v>
      </c>
      <c r="I10" s="44">
        <f>ROUND(0.01*$I$13,3)</f>
        <v>2E-3</v>
      </c>
      <c r="J10" s="44">
        <v>0</v>
      </c>
      <c r="K10" s="44">
        <v>0</v>
      </c>
      <c r="L10" s="44">
        <v>0</v>
      </c>
      <c r="N10" s="44" t="s">
        <v>123</v>
      </c>
      <c r="O10" s="44">
        <f>ROUND(0.01*$O$13,3)+0.001</f>
        <v>1E-3</v>
      </c>
      <c r="P10" s="44">
        <f t="shared" si="0"/>
        <v>1E-3</v>
      </c>
      <c r="Q10" s="44">
        <f t="shared" si="1"/>
        <v>1E-3</v>
      </c>
      <c r="R10" s="44">
        <f t="shared" si="2"/>
        <v>1E-3</v>
      </c>
    </row>
    <row r="11" spans="1:18">
      <c r="A11" s="44" t="s">
        <v>124</v>
      </c>
      <c r="B11" s="44">
        <f>ROUND(0.01*$B$13,3)</f>
        <v>1E-3</v>
      </c>
      <c r="C11" s="44">
        <f>ROUND(0.01*$C$13,3)</f>
        <v>2E-3</v>
      </c>
      <c r="D11" s="44">
        <v>0</v>
      </c>
      <c r="E11" s="44">
        <v>0</v>
      </c>
      <c r="F11" s="44">
        <v>0</v>
      </c>
      <c r="G11" s="45"/>
      <c r="H11" s="44">
        <f>ROUND(0.01*$H$13,3)</f>
        <v>2E-3</v>
      </c>
      <c r="I11" s="44">
        <f>ROUND(0.01*$I$13,3)</f>
        <v>2E-3</v>
      </c>
      <c r="J11" s="44">
        <v>0</v>
      </c>
      <c r="K11" s="44">
        <v>0</v>
      </c>
      <c r="L11" s="44">
        <v>0</v>
      </c>
      <c r="N11" s="44" t="s">
        <v>124</v>
      </c>
      <c r="O11" s="44">
        <f>ROUND(0.009*$O$13,3)</f>
        <v>0</v>
      </c>
      <c r="P11" s="44">
        <f t="shared" si="0"/>
        <v>0</v>
      </c>
      <c r="Q11" s="44">
        <f t="shared" si="1"/>
        <v>0</v>
      </c>
      <c r="R11" s="44">
        <f t="shared" si="2"/>
        <v>0</v>
      </c>
    </row>
    <row r="12" spans="1:18">
      <c r="A12" s="44" t="s">
        <v>125</v>
      </c>
      <c r="B12" s="44">
        <f>SUM(B8:B11)</f>
        <v>0.1225</v>
      </c>
      <c r="C12" s="44">
        <f t="shared" ref="C12:F12" si="3">SUM(C8:C11)</f>
        <v>0.19900000000000001</v>
      </c>
      <c r="D12" s="44">
        <f t="shared" si="3"/>
        <v>0</v>
      </c>
      <c r="E12" s="44">
        <f t="shared" si="3"/>
        <v>0</v>
      </c>
      <c r="F12" s="44">
        <f t="shared" si="3"/>
        <v>0</v>
      </c>
      <c r="G12" s="45"/>
      <c r="H12" s="44">
        <f>SUM(H8:H11)</f>
        <v>0.20349999999999999</v>
      </c>
      <c r="I12" s="44">
        <f t="shared" ref="I12:L12" si="4">SUM(I8:I11)</f>
        <v>0.188</v>
      </c>
      <c r="J12" s="44">
        <f t="shared" si="4"/>
        <v>0</v>
      </c>
      <c r="K12" s="44">
        <f t="shared" si="4"/>
        <v>0</v>
      </c>
      <c r="L12" s="44">
        <f t="shared" si="4"/>
        <v>0</v>
      </c>
      <c r="N12" s="44" t="s">
        <v>125</v>
      </c>
      <c r="O12" s="44">
        <f>SUM(O8:O11)</f>
        <v>2.3E-2</v>
      </c>
      <c r="P12" s="44">
        <f t="shared" si="0"/>
        <v>2.3E-2</v>
      </c>
      <c r="Q12" s="44">
        <f t="shared" si="1"/>
        <v>2.3E-2</v>
      </c>
      <c r="R12" s="44">
        <f t="shared" si="2"/>
        <v>2.3E-2</v>
      </c>
    </row>
    <row r="13" spans="1:18">
      <c r="A13" s="43" t="s">
        <v>126</v>
      </c>
      <c r="B13" s="6">
        <f>ROUND(((fy27_summary_bnft_projection!D28+fy27_summary_bnft_projection!D29-(fy27_summary_bnft_projection!D66-fy27_summary_bnft_projection!D67))/fy27_summary_bnft_projection!$D$44),3)+0.0036</f>
        <v>0.1216</v>
      </c>
      <c r="C13" s="6">
        <f>ROUND(((fy27_summary_bnft_projection!F28+fy27_summary_bnft_projection!F29-(fy27_summary_bnft_projection!E66-fy27_summary_bnft_projection!E67))/fy27_summary_bnft_projection!$F$44),3)+0.0055</f>
        <v>0.19850000000000001</v>
      </c>
      <c r="D13" s="6">
        <v>0</v>
      </c>
      <c r="E13" s="6">
        <v>0</v>
      </c>
      <c r="F13" s="6">
        <v>0</v>
      </c>
      <c r="H13" s="6">
        <f>ROUND(((fy27_summary_bnft_projection!E28+fy27_summary_bnft_projection!E29)/fy27_summary_bnft_projection!$E$13),3)+0.005</f>
        <v>0.20400000000000001</v>
      </c>
      <c r="I13" s="6">
        <f>ROUND(((fy27_summary_bnft_projection!G28+fy27_summary_bnft_projection!G29)/fy27_summary_bnft_projection!$G$13),3)+0.0025</f>
        <v>0.1875</v>
      </c>
      <c r="J13" s="6">
        <f>ROUND(((fy27_summary_bnft_projection!L28+fy27_summary_bnft_projection!L29)/fy27_summary_bnft_projection!$L$13),3)</f>
        <v>0</v>
      </c>
      <c r="K13" s="6">
        <v>0</v>
      </c>
      <c r="L13" s="6">
        <v>0</v>
      </c>
      <c r="N13" s="43" t="s">
        <v>126</v>
      </c>
      <c r="O13" s="6">
        <f>ROUND(((fy27_summary_bnft_projection!H28+fy27_summary_bnft_projection!H29)/fy27_summary_bnft_projection!$H$13),3)</f>
        <v>2.3E-2</v>
      </c>
      <c r="P13" s="6">
        <f t="shared" si="0"/>
        <v>2.3E-2</v>
      </c>
      <c r="Q13" s="6">
        <f t="shared" si="1"/>
        <v>2.3E-2</v>
      </c>
      <c r="R13" s="6">
        <f t="shared" si="2"/>
        <v>2.3E-2</v>
      </c>
    </row>
    <row r="14" spans="1:18">
      <c r="A14" s="43" t="s">
        <v>127</v>
      </c>
      <c r="B14" s="6">
        <f>ROUND(((fy27_summary_bnft_projection!D26-fy27_summary_bnft_projection!D64)/fy27_summary_bnft_projection!$D$44),3)</f>
        <v>2E-3</v>
      </c>
      <c r="C14" s="6">
        <f>ROUND(((fy27_summary_bnft_projection!F26-fy27_summary_bnft_projection!E64)/fy27_summary_bnft_projection!$F$44),3)</f>
        <v>2E-3</v>
      </c>
      <c r="D14" s="6">
        <f>ROUND(((fy27_summary_bnft_projection!K26-fy27_summary_bnft_projection!G64)/fy27_summary_bnft_projection!$K$44),3)-0.0005</f>
        <v>1.5E-3</v>
      </c>
      <c r="E14" s="6">
        <f>ROUND(((fy27_summary_bnft_projection!K26)/fy27_summary_bnft_projection!$K$44),3)-0.0006</f>
        <v>2.4000000000000002E-3</v>
      </c>
      <c r="F14" s="6">
        <f>ROUND(((fy27_summary_bnft_projection!Q26-fy27_summary_bnft_projection!I64)/fy27_summary_bnft_projection!$Q$44),3)</f>
        <v>2E-3</v>
      </c>
      <c r="H14" s="6">
        <f>ROUND((fy27_summary_bnft_projection!E26/fy27_summary_bnft_projection!$E$13),3)</f>
        <v>2E-3</v>
      </c>
      <c r="I14" s="6">
        <f>ROUND((fy27_summary_bnft_projection!G26/fy27_summary_bnft_projection!$G$13),3)+0.0005</f>
        <v>2.5000000000000001E-3</v>
      </c>
      <c r="J14" s="6">
        <f>ROUND((fy27_summary_bnft_projection!L26/fy27_summary_bnft_projection!$L$13),3)-0.0005</f>
        <v>1.5E-3</v>
      </c>
      <c r="K14" s="6">
        <f>ROUND((fy27_summary_bnft_projection!N26/fy27_summary_bnft_projection!$N$13),3)</f>
        <v>2E-3</v>
      </c>
      <c r="L14" s="6">
        <f>ROUND((fy27_summary_bnft_projection!R26/fy27_summary_bnft_projection!$R$13),3)</f>
        <v>2E-3</v>
      </c>
      <c r="N14" s="43" t="s">
        <v>127</v>
      </c>
      <c r="O14" s="6">
        <f>ROUND((fy27_summary_bnft_projection!H26/fy27_summary_bnft_projection!$H$13),3)</f>
        <v>2E-3</v>
      </c>
      <c r="P14" s="6">
        <f t="shared" si="0"/>
        <v>2E-3</v>
      </c>
      <c r="Q14" s="6">
        <f t="shared" si="1"/>
        <v>2E-3</v>
      </c>
      <c r="R14" s="6">
        <f t="shared" si="2"/>
        <v>2E-3</v>
      </c>
    </row>
    <row r="15" spans="1:18">
      <c r="A15" s="43" t="s">
        <v>128</v>
      </c>
      <c r="B15" s="6">
        <f>ROUND(((fy27_summary_bnft_projection!D21-fy27_summary_bnft_projection!D59)/fy27_summary_bnft_projection!$D$44),3)</f>
        <v>2E-3</v>
      </c>
      <c r="C15" s="6">
        <f>ROUND(((fy27_summary_bnft_projection!F21-fy27_summary_bnft_projection!E59)/fy27_summary_bnft_projection!$F$44),3)</f>
        <v>2E-3</v>
      </c>
      <c r="D15" s="6">
        <f>ROUND(((fy27_summary_bnft_projection!K21-fy27_summary_bnft_projection!G59)/fy27_summary_bnft_projection!$K$44),3)</f>
        <v>0</v>
      </c>
      <c r="E15" s="6">
        <v>0</v>
      </c>
      <c r="F15" s="6">
        <v>0</v>
      </c>
      <c r="H15" s="6">
        <f>ROUND((fy27_summary_bnft_projection!E21/fy27_summary_bnft_projection!$E$13),3)</f>
        <v>2E-3</v>
      </c>
      <c r="I15" s="6">
        <f>ROUND((fy27_summary_bnft_projection!G21/fy27_summary_bnft_projection!$G$13),3)</f>
        <v>2E-3</v>
      </c>
      <c r="J15" s="6">
        <f>ROUND((fy27_summary_bnft_projection!L21/fy27_summary_bnft_projection!$L$13),3)</f>
        <v>0</v>
      </c>
      <c r="K15" s="6">
        <f>ROUND((fy27_summary_bnft_projection!N21/fy27_summary_bnft_projection!$N$13),3)</f>
        <v>0</v>
      </c>
      <c r="L15" s="6">
        <f>ROUND((fy27_summary_bnft_projection!R21/fy27_summary_bnft_projection!$R$13),3)</f>
        <v>0</v>
      </c>
      <c r="N15" s="43" t="s">
        <v>128</v>
      </c>
      <c r="O15" s="6">
        <f>ROUND((fy27_summary_bnft_projection!H21/fy27_summary_bnft_projection!$H$13),3)</f>
        <v>2E-3</v>
      </c>
      <c r="P15" s="6">
        <f t="shared" si="0"/>
        <v>2E-3</v>
      </c>
      <c r="Q15" s="6">
        <f t="shared" si="1"/>
        <v>2E-3</v>
      </c>
      <c r="R15" s="6">
        <f t="shared" si="2"/>
        <v>2E-3</v>
      </c>
    </row>
    <row r="16" spans="1:18">
      <c r="A16" s="43" t="s">
        <v>129</v>
      </c>
      <c r="B16" s="6">
        <f>ROUND(((fy27_summary_bnft_projection!D22-fy27_summary_bnft_projection!D60)/fy27_summary_bnft_projection!$D$44),3)</f>
        <v>2E-3</v>
      </c>
      <c r="C16" s="6">
        <f>ROUND(((fy27_summary_bnft_projection!F22-fy27_summary_bnft_projection!E60)/fy27_summary_bnft_projection!$F$44),3)</f>
        <v>2E-3</v>
      </c>
      <c r="D16" s="6">
        <f>ROUND(((fy27_summary_bnft_projection!K22-fy27_summary_bnft_projection!G60)/fy27_summary_bnft_projection!$K$44),3)</f>
        <v>0</v>
      </c>
      <c r="E16" s="6">
        <v>0</v>
      </c>
      <c r="F16" s="6">
        <v>0</v>
      </c>
      <c r="H16" s="6">
        <f>ROUND((fy27_summary_bnft_projection!E22/fy27_summary_bnft_projection!$E$13),3)</f>
        <v>2E-3</v>
      </c>
      <c r="I16" s="6">
        <f>ROUND((fy27_summary_bnft_projection!G22/fy27_summary_bnft_projection!$G$13),3)</f>
        <v>2E-3</v>
      </c>
      <c r="J16" s="6">
        <f>ROUND((fy27_summary_bnft_projection!L22/fy27_summary_bnft_projection!$L$13),3)</f>
        <v>0</v>
      </c>
      <c r="K16" s="6">
        <f>ROUND((fy27_summary_bnft_projection!N22/fy27_summary_bnft_projection!$N$13),3)</f>
        <v>0</v>
      </c>
      <c r="L16" s="6">
        <f>ROUND((fy27_summary_bnft_projection!R22/fy27_summary_bnft_projection!$R$13),3)</f>
        <v>0</v>
      </c>
      <c r="N16" s="43" t="s">
        <v>129</v>
      </c>
      <c r="O16" s="6">
        <f>ROUND((fy27_summary_bnft_projection!H22/fy27_summary_bnft_projection!$H$13),3)</f>
        <v>2E-3</v>
      </c>
      <c r="P16" s="6">
        <f t="shared" si="0"/>
        <v>2E-3</v>
      </c>
      <c r="Q16" s="6">
        <f t="shared" si="1"/>
        <v>2E-3</v>
      </c>
      <c r="R16" s="6">
        <f t="shared" si="2"/>
        <v>2E-3</v>
      </c>
    </row>
    <row r="17" spans="1:18">
      <c r="A17" s="43" t="s">
        <v>130</v>
      </c>
      <c r="B17" s="6">
        <f>ROUND(((fy27_summary_bnft_projection!D23-fy27_summary_bnft_projection!D61)/fy27_summary_bnft_projection!$D$44),3)+0.0005</f>
        <v>5.0000000000000001E-4</v>
      </c>
      <c r="C17" s="6">
        <f>ROUND(((fy27_summary_bnft_projection!F23-fy27_summary_bnft_projection!E61)/fy27_summary_bnft_projection!$F$44),3)+0.0005</f>
        <v>5.0000000000000001E-4</v>
      </c>
      <c r="D17" s="6">
        <f>ROUND(((fy27_summary_bnft_projection!K23-fy27_summary_bnft_projection!G61)/fy27_summary_bnft_projection!$K$44),3)+0.0005</f>
        <v>5.0000000000000001E-4</v>
      </c>
      <c r="E17" s="6">
        <v>0</v>
      </c>
      <c r="F17" s="6">
        <v>0</v>
      </c>
      <c r="H17" s="6">
        <f>ROUND((fy27_summary_bnft_projection!E23/fy27_summary_bnft_projection!$E$13),3)+0.0005</f>
        <v>5.0000000000000001E-4</v>
      </c>
      <c r="I17" s="6">
        <f>ROUND((fy27_summary_bnft_projection!G23/fy27_summary_bnft_projection!$G$13),3)+0.0005</f>
        <v>5.0000000000000001E-4</v>
      </c>
      <c r="J17" s="6">
        <f>ROUND((fy27_summary_bnft_projection!L23/fy27_summary_bnft_projection!$L$13),3)+0.0005</f>
        <v>5.0000000000000001E-4</v>
      </c>
      <c r="K17" s="6">
        <f>ROUND((fy27_summary_bnft_projection!N23/fy27_summary_bnft_projection!$N$13),3)</f>
        <v>0</v>
      </c>
      <c r="L17" s="6">
        <f>ROUND((fy27_summary_bnft_projection!R23/fy27_summary_bnft_projection!$R$13),3)</f>
        <v>0</v>
      </c>
      <c r="N17" s="43" t="s">
        <v>130</v>
      </c>
      <c r="O17" s="6">
        <f>ROUND((fy27_summary_bnft_projection!H23/fy27_summary_bnft_projection!$H$13),3)+0.0005</f>
        <v>5.0000000000000001E-4</v>
      </c>
      <c r="P17" s="6">
        <f>O17+0.0001</f>
        <v>6.0000000000000006E-4</v>
      </c>
      <c r="Q17" s="6">
        <f t="shared" si="1"/>
        <v>5.0000000000000001E-4</v>
      </c>
      <c r="R17" s="6">
        <f t="shared" si="2"/>
        <v>5.0000000000000001E-4</v>
      </c>
    </row>
    <row r="18" spans="1:18">
      <c r="A18" s="43" t="s">
        <v>131</v>
      </c>
      <c r="B18" s="6">
        <f>ROUND(((fy27_summary_bnft_projection!D24-fy27_summary_bnft_projection!D62)/fy27_summary_bnft_projection!$D$44),3)</f>
        <v>1E-3</v>
      </c>
      <c r="C18" s="6">
        <f>ROUND(((fy27_summary_bnft_projection!F24-fy27_summary_bnft_projection!E62)/fy27_summary_bnft_projection!$F$44),3)</f>
        <v>1E-3</v>
      </c>
      <c r="D18" s="6">
        <f>ROUND(((fy27_summary_bnft_projection!K24-fy27_summary_bnft_projection!G62)/fy27_summary_bnft_projection!$K$44),3)</f>
        <v>1E-3</v>
      </c>
      <c r="E18" s="6">
        <f>ROUND(((fy27_summary_bnft_projection!K24)/fy27_summary_bnft_projection!$K$44),3)</f>
        <v>1E-3</v>
      </c>
      <c r="F18" s="6">
        <f>ROUND(((fy27_summary_bnft_projection!Q24-fy27_summary_bnft_projection!I62)/fy27_summary_bnft_projection!$Q$44),3)</f>
        <v>1E-3</v>
      </c>
      <c r="H18" s="6">
        <f>ROUND((fy27_summary_bnft_projection!E25/fy27_summary_bnft_projection!$E$13),3)</f>
        <v>3.0000000000000001E-3</v>
      </c>
      <c r="I18" s="6">
        <f>ROUND((fy27_summary_bnft_projection!G25/fy27_summary_bnft_projection!$G$13),3)</f>
        <v>3.0000000000000001E-3</v>
      </c>
      <c r="J18" s="6">
        <f>ROUND((fy27_summary_bnft_projection!L25/fy27_summary_bnft_projection!$L$13),3)</f>
        <v>3.0000000000000001E-3</v>
      </c>
      <c r="K18" s="6">
        <f>ROUND((fy27_summary_bnft_projection!N25/fy27_summary_bnft_projection!$N$13),3)</f>
        <v>3.0000000000000001E-3</v>
      </c>
      <c r="L18" s="6">
        <f>ROUND((fy27_summary_bnft_projection!R25/fy27_summary_bnft_projection!$R$13),3)</f>
        <v>3.0000000000000001E-3</v>
      </c>
      <c r="N18" s="43" t="s">
        <v>131</v>
      </c>
      <c r="O18" s="6">
        <f>ROUND((fy27_summary_bnft_projection!H25/fy27_summary_bnft_projection!$H$13),3)+0.0005</f>
        <v>5.0000000000000001E-4</v>
      </c>
      <c r="P18" s="6">
        <f t="shared" si="0"/>
        <v>5.0000000000000001E-4</v>
      </c>
      <c r="Q18" s="6">
        <f t="shared" si="1"/>
        <v>5.0000000000000001E-4</v>
      </c>
      <c r="R18" s="6">
        <f t="shared" si="2"/>
        <v>5.0000000000000001E-4</v>
      </c>
    </row>
    <row r="19" spans="1:18">
      <c r="A19" s="43" t="s">
        <v>132</v>
      </c>
      <c r="B19" s="6">
        <f>ROUND((fy27_summary_bnft_projection!D30/fy27_summary_bnft_projection!$D$44),3)</f>
        <v>3.0000000000000001E-3</v>
      </c>
      <c r="C19" s="6">
        <f>ROUND((fy27_summary_bnft_projection!F30/fy27_summary_bnft_projection!$F$44),3)</f>
        <v>4.0000000000000001E-3</v>
      </c>
      <c r="D19" s="6">
        <f>ROUND((fy27_summary_bnft_projection!K30/fy27_summary_bnft_projection!$K$44),3)</f>
        <v>0</v>
      </c>
      <c r="E19" s="6">
        <v>0</v>
      </c>
      <c r="F19" s="6">
        <v>0</v>
      </c>
      <c r="H19" s="6">
        <f>ROUND((fy27_summary_bnft_projection!E30/fy27_summary_bnft_projection!$E$13),3)</f>
        <v>4.0000000000000001E-3</v>
      </c>
      <c r="I19" s="6">
        <f>ROUND((fy27_summary_bnft_projection!G30/fy27_summary_bnft_projection!$G$13),3)</f>
        <v>4.0000000000000001E-3</v>
      </c>
      <c r="J19" s="6">
        <v>0</v>
      </c>
      <c r="K19" s="6">
        <v>0</v>
      </c>
      <c r="L19" s="6">
        <v>0</v>
      </c>
      <c r="N19" s="43" t="s">
        <v>132</v>
      </c>
      <c r="O19" s="6">
        <f>ROUND((fy27_summary_bnft_projection!H30/fy27_summary_bnft_projection!$H$13),3)</f>
        <v>0</v>
      </c>
      <c r="P19" s="6">
        <f t="shared" si="0"/>
        <v>0</v>
      </c>
      <c r="Q19" s="6">
        <f t="shared" si="1"/>
        <v>0</v>
      </c>
      <c r="R19" s="6">
        <f t="shared" si="2"/>
        <v>0</v>
      </c>
    </row>
    <row r="20" spans="1:18">
      <c r="A20" s="43" t="s">
        <v>133</v>
      </c>
      <c r="B20" s="6">
        <f>ROUND(((fy27_summary_bnft_projection!D31-fy27_summary_bnft_projection!D68)/fy27_summary_bnft_projection!$D$44),3)+0.0006</f>
        <v>5.9999999999999995E-4</v>
      </c>
      <c r="C20" s="6">
        <f>ROUND(((fy27_summary_bnft_projection!F31-fy27_summary_bnft_projection!E68)/fy27_summary_bnft_projection!$F$44),3)+0.0005</f>
        <v>1.5E-3</v>
      </c>
      <c r="D20" s="6">
        <f>ROUND(((fy27_summary_bnft_projection!K31-fy27_summary_bnft_projection!G68)/fy27_summary_bnft_projection!$K$44),3)</f>
        <v>0</v>
      </c>
      <c r="E20" s="6">
        <v>0</v>
      </c>
      <c r="F20" s="6">
        <v>0</v>
      </c>
      <c r="H20" s="6">
        <f>ROUND((fy27_summary_bnft_projection!E31/fy27_summary_bnft_projection!$E$13),3)</f>
        <v>1E-3</v>
      </c>
      <c r="I20" s="6">
        <f>ROUND((fy27_summary_bnft_projection!G31/fy27_summary_bnft_projection!$G$13),3)</f>
        <v>1E-3</v>
      </c>
      <c r="J20" s="6">
        <f>ROUND((fy27_summary_bnft_projection!L30/fy27_summary_bnft_projection!$L$13),3)</f>
        <v>0</v>
      </c>
      <c r="K20" s="6">
        <f>ROUND((fy27_summary_bnft_projection!N30/fy27_summary_bnft_projection!$N$13),3)</f>
        <v>0</v>
      </c>
      <c r="L20" s="6">
        <f>ROUND((fy27_summary_bnft_projection!R30/fy27_summary_bnft_projection!$R$13),3)</f>
        <v>0</v>
      </c>
      <c r="N20" s="43" t="s">
        <v>133</v>
      </c>
      <c r="O20" s="6">
        <f>ROUND((fy27_summary_bnft_projection!H31/fy27_summary_bnft_projection!$H$13),3)+0.0005</f>
        <v>5.0000000000000001E-4</v>
      </c>
      <c r="P20" s="6">
        <f t="shared" si="0"/>
        <v>5.0000000000000001E-4</v>
      </c>
      <c r="Q20" s="6">
        <f t="shared" si="1"/>
        <v>5.0000000000000001E-4</v>
      </c>
      <c r="R20" s="6">
        <f t="shared" si="2"/>
        <v>5.0000000000000001E-4</v>
      </c>
    </row>
    <row r="21" spans="1:18">
      <c r="A21" s="43" t="s">
        <v>134</v>
      </c>
      <c r="B21" s="6">
        <f>ROUND(((fy27_summary_bnft_projection!D32-fy27_summary_bnft_projection!D69)/fy27_summary_bnft_projection!$D$44),3)</f>
        <v>4.0000000000000001E-3</v>
      </c>
      <c r="C21" s="6">
        <f>ROUND(((fy27_summary_bnft_projection!F32-fy27_summary_bnft_projection!E69)/fy27_summary_bnft_projection!$F$44),3)</f>
        <v>6.0000000000000001E-3</v>
      </c>
      <c r="D21" s="6">
        <f>ROUND(((fy27_summary_bnft_projection!K32-fy27_summary_bnft_projection!G69)/fy27_summary_bnft_projection!$K$44),3)</f>
        <v>0</v>
      </c>
      <c r="E21" s="6">
        <v>0</v>
      </c>
      <c r="F21" s="6">
        <v>0</v>
      </c>
      <c r="H21" s="6">
        <f>ROUND((fy27_summary_bnft_projection!E32/fy27_summary_bnft_projection!$E$13),3)</f>
        <v>6.0000000000000001E-3</v>
      </c>
      <c r="I21" s="6">
        <f>ROUND((fy27_summary_bnft_projection!G32/fy27_summary_bnft_projection!$G$13),3)</f>
        <v>6.0000000000000001E-3</v>
      </c>
      <c r="J21" s="6">
        <f>ROUND((fy27_summary_bnft_projection!L31/fy27_summary_bnft_projection!$L$13),3)</f>
        <v>0</v>
      </c>
      <c r="K21" s="6">
        <f>ROUND((fy27_summary_bnft_projection!N31/fy27_summary_bnft_projection!$N$13),3)</f>
        <v>0</v>
      </c>
      <c r="L21" s="6">
        <f>ROUND((fy27_summary_bnft_projection!R31/fy27_summary_bnft_projection!$R$13),3)</f>
        <v>0</v>
      </c>
      <c r="N21" s="43" t="s">
        <v>134</v>
      </c>
      <c r="O21" s="6">
        <f>ROUND((fy27_summary_bnft_projection!H32/fy27_summary_bnft_projection!$H$13),3)</f>
        <v>1E-3</v>
      </c>
      <c r="P21" s="6">
        <f t="shared" si="0"/>
        <v>1E-3</v>
      </c>
      <c r="Q21" s="6">
        <f t="shared" si="1"/>
        <v>1E-3</v>
      </c>
      <c r="R21" s="6">
        <f t="shared" si="2"/>
        <v>1E-3</v>
      </c>
    </row>
    <row r="22" spans="1:18">
      <c r="A22" s="43" t="s">
        <v>135</v>
      </c>
      <c r="B22" s="6">
        <v>0</v>
      </c>
      <c r="C22" s="6">
        <v>0</v>
      </c>
      <c r="D22" s="6">
        <v>0</v>
      </c>
      <c r="E22" s="6">
        <v>0</v>
      </c>
      <c r="F22" s="46">
        <f>ROUND(((fy27_summary_bnft_projection!Q27-fy27_summary_bnft_projection!I65)/fy27_summary_bnft_projection!$Q$44),3)-0.0036</f>
        <v>0.12940000000000002</v>
      </c>
      <c r="H22" s="6">
        <f>ROUND((fy27_summary_bnft_projection!E27/fy27_summary_bnft_projection!$E$13),3)</f>
        <v>0</v>
      </c>
      <c r="I22" s="6">
        <f>ROUND((fy27_summary_bnft_projection!G27/fy27_summary_bnft_projection!$G$13),3)</f>
        <v>0</v>
      </c>
      <c r="J22" s="6">
        <f>ROUND((fy27_summary_bnft_projection!L27/fy27_summary_bnft_projection!$L$13),3)</f>
        <v>0</v>
      </c>
      <c r="K22" s="6">
        <f>ROUND((fy27_summary_bnft_projection!N27/fy27_summary_bnft_projection!$N$13),3)</f>
        <v>0</v>
      </c>
      <c r="L22" s="6">
        <f>ROUND((fy27_summary_bnft_projection!R27/fy27_summary_bnft_projection!$R$13),3)</f>
        <v>0.129</v>
      </c>
      <c r="N22" s="43" t="s">
        <v>135</v>
      </c>
      <c r="O22" s="6">
        <v>0</v>
      </c>
      <c r="P22" s="6">
        <f t="shared" si="0"/>
        <v>0</v>
      </c>
      <c r="Q22" s="6">
        <f t="shared" si="1"/>
        <v>0</v>
      </c>
      <c r="R22" s="6">
        <f t="shared" si="2"/>
        <v>0</v>
      </c>
    </row>
    <row r="23" spans="1:18">
      <c r="A23" s="43" t="s">
        <v>136</v>
      </c>
      <c r="B23" s="6">
        <f>ROUND(((fy27_summary_bnft_projection!D33-fy27_summary_bnft_projection!D70)/fy27_summary_bnft_projection!$D$44),3)</f>
        <v>6.0000000000000001E-3</v>
      </c>
      <c r="C23" s="6">
        <f>ROUND(((fy27_summary_bnft_projection!F33-fy27_summary_bnft_projection!E70)/fy27_summary_bnft_projection!$F$44),3)</f>
        <v>0.01</v>
      </c>
      <c r="D23" s="6">
        <f>ROUND(((fy27_summary_bnft_projection!K33-fy27_summary_bnft_projection!G70)/fy27_summary_bnft_projection!$K$44),3)</f>
        <v>0</v>
      </c>
      <c r="E23" s="6">
        <v>0</v>
      </c>
      <c r="F23" s="6">
        <v>0</v>
      </c>
      <c r="H23" s="6">
        <f>ROUND((fy27_summary_bnft_projection!E33/fy27_summary_bnft_projection!$E$13),3)</f>
        <v>0.01</v>
      </c>
      <c r="I23" s="6">
        <f>ROUND((fy27_summary_bnft_projection!G33/fy27_summary_bnft_projection!$G$13),3)</f>
        <v>8.9999999999999993E-3</v>
      </c>
      <c r="J23" s="6">
        <f>ROUND((fy27_summary_bnft_projection!L32/fy27_summary_bnft_projection!$L$13),3)</f>
        <v>0</v>
      </c>
      <c r="K23" s="6">
        <f>ROUND((fy27_summary_bnft_projection!N32/fy27_summary_bnft_projection!$N$13),3)</f>
        <v>0</v>
      </c>
      <c r="L23" s="6">
        <f>ROUND((fy27_summary_bnft_projection!R32/fy27_summary_bnft_projection!$R$13),3)</f>
        <v>0</v>
      </c>
      <c r="N23" s="43" t="s">
        <v>136</v>
      </c>
      <c r="O23" s="6">
        <f>ROUND((fy27_summary_bnft_projection!H33/fy27_summary_bnft_projection!$H$13),3)</f>
        <v>1E-3</v>
      </c>
      <c r="P23" s="6">
        <f t="shared" si="0"/>
        <v>1E-3</v>
      </c>
      <c r="Q23" s="6">
        <f t="shared" si="1"/>
        <v>1E-3</v>
      </c>
      <c r="R23" s="6">
        <f t="shared" si="2"/>
        <v>1E-3</v>
      </c>
    </row>
    <row r="24" spans="1:18">
      <c r="A24" s="43" t="s">
        <v>137</v>
      </c>
      <c r="B24" s="6">
        <f>ROUND(((fy27_summary_bnft_projection!D34)/fy27_summary_bnft_projection!$D$44),3)</f>
        <v>3.0000000000000001E-3</v>
      </c>
      <c r="C24" s="6">
        <f>ROUND(((fy27_summary_bnft_projection!F34)/fy27_summary_bnft_projection!$F$44),3)</f>
        <v>5.0000000000000001E-3</v>
      </c>
      <c r="D24" s="6">
        <f>ROUND(((fy27_summary_bnft_projection!K34)/fy27_summary_bnft_projection!$K$44),3)</f>
        <v>0</v>
      </c>
      <c r="E24" s="6">
        <v>0</v>
      </c>
      <c r="F24" s="6">
        <v>0</v>
      </c>
      <c r="H24" s="6">
        <f>ROUND((fy27_summary_bnft_projection!E34/fy27_summary_bnft_projection!$E$13),3)</f>
        <v>4.0000000000000001E-3</v>
      </c>
      <c r="I24" s="6">
        <f>ROUND((fy27_summary_bnft_projection!G34/fy27_summary_bnft_projection!$G$13),3)</f>
        <v>4.0000000000000001E-3</v>
      </c>
      <c r="J24" s="6">
        <f>ROUND((fy27_summary_bnft_projection!L33/fy27_summary_bnft_projection!$L$13),3)</f>
        <v>0</v>
      </c>
      <c r="K24" s="6">
        <f>ROUND((fy27_summary_bnft_projection!N33/fy27_summary_bnft_projection!$N$13),3)</f>
        <v>0</v>
      </c>
      <c r="L24" s="6">
        <f>ROUND((fy27_summary_bnft_projection!R33/fy27_summary_bnft_projection!$R$13),3)</f>
        <v>0</v>
      </c>
      <c r="N24" s="43" t="s">
        <v>137</v>
      </c>
      <c r="O24" s="6">
        <f>ROUND((fy27_summary_bnft_projection!H34/fy27_summary_bnft_projection!$H$13),3)</f>
        <v>1E-3</v>
      </c>
      <c r="P24" s="6">
        <f t="shared" si="0"/>
        <v>1E-3</v>
      </c>
      <c r="Q24" s="6">
        <f t="shared" si="1"/>
        <v>1E-3</v>
      </c>
      <c r="R24" s="6">
        <f t="shared" si="2"/>
        <v>1E-3</v>
      </c>
    </row>
    <row r="25" spans="1:18">
      <c r="A25" s="47" t="s">
        <v>138</v>
      </c>
      <c r="B25" s="6">
        <f>'Rate Summary'!B4</f>
        <v>0.30099999999999999</v>
      </c>
      <c r="C25" s="6">
        <f>'Rate Summary'!B5</f>
        <v>0.38800000000000001</v>
      </c>
      <c r="D25" s="6">
        <f>'Rate Summary'!B6</f>
        <v>0.157</v>
      </c>
      <c r="E25" s="6">
        <f>'Rate Summary'!B7</f>
        <v>3.0000000000000001E-3</v>
      </c>
      <c r="F25" s="6">
        <f>'Rate Summary'!B8</f>
        <v>0.13200000000000001</v>
      </c>
      <c r="H25" s="6">
        <f>'Rate Summary'!B11</f>
        <v>0.39400000000000002</v>
      </c>
      <c r="I25" s="6">
        <f>'Rate Summary'!B12</f>
        <v>0.377</v>
      </c>
      <c r="J25" s="6">
        <f>'Rate Summary'!B13</f>
        <v>0.159</v>
      </c>
      <c r="K25" s="6">
        <f>'Rate Summary'!B14</f>
        <v>5.0000000000000001E-3</v>
      </c>
      <c r="L25" s="6">
        <f>'Rate Summary'!B15</f>
        <v>0.13400000000000001</v>
      </c>
      <c r="N25" s="47" t="s">
        <v>138</v>
      </c>
      <c r="O25" s="6">
        <f>'Rate Summary'!B24</f>
        <v>0.14899999999999999</v>
      </c>
      <c r="P25" s="6">
        <f>'Rate Summary'!B25</f>
        <v>0.19900000000000001</v>
      </c>
      <c r="Q25" s="6">
        <f>'Rate Summary'!B26</f>
        <v>0.189</v>
      </c>
      <c r="R25" s="6">
        <f>'Rate Summary'!B27</f>
        <v>0.24299999999999999</v>
      </c>
    </row>
    <row r="26" spans="1:18">
      <c r="A26" s="48"/>
      <c r="B26" s="6"/>
      <c r="C26" s="6"/>
      <c r="D26" s="6"/>
      <c r="E26" s="6"/>
      <c r="F26" s="6"/>
      <c r="H26" s="6"/>
      <c r="I26" s="6"/>
      <c r="J26" s="6"/>
      <c r="K26" s="6"/>
      <c r="L26" s="6"/>
      <c r="N26" s="48"/>
      <c r="O26" s="6"/>
      <c r="P26" s="6"/>
      <c r="Q26" s="6"/>
      <c r="R26" s="6"/>
    </row>
    <row r="27" spans="1:18">
      <c r="A27" s="49" t="s">
        <v>139</v>
      </c>
      <c r="B27" s="6">
        <f>SUM(B5:B7,B13:B24)</f>
        <v>0.30070000000000002</v>
      </c>
      <c r="C27" s="6">
        <f t="shared" ref="C27:F27" si="5">SUM(C5:C7,C13:C24)</f>
        <v>0.38750000000000007</v>
      </c>
      <c r="D27" s="6">
        <f t="shared" si="5"/>
        <v>0.1573</v>
      </c>
      <c r="E27" s="6">
        <f t="shared" si="5"/>
        <v>3.4000000000000002E-3</v>
      </c>
      <c r="F27" s="6">
        <f t="shared" si="5"/>
        <v>0.13240000000000002</v>
      </c>
      <c r="H27" s="6">
        <f>SUM(H5:H7,H13:H24)</f>
        <v>0.39350000000000007</v>
      </c>
      <c r="I27" s="6">
        <f t="shared" ref="I27:L27" si="6">SUM(I5:I7,I13:I24)</f>
        <v>0.37650000000000006</v>
      </c>
      <c r="J27" s="6">
        <f t="shared" si="6"/>
        <v>0.15940000000000004</v>
      </c>
      <c r="K27" s="6">
        <f t="shared" si="6"/>
        <v>5.0000000000000001E-3</v>
      </c>
      <c r="L27" s="6">
        <f t="shared" si="6"/>
        <v>0.13400000000000001</v>
      </c>
      <c r="N27" s="49" t="s">
        <v>139</v>
      </c>
      <c r="O27" s="6">
        <f>SUM(O5:O11,O14:O24)</f>
        <v>0.14850000000000002</v>
      </c>
      <c r="P27" s="6">
        <f t="shared" ref="P27:R27" si="7">SUM(P5:P11,P14:P24)</f>
        <v>0.19859999999999997</v>
      </c>
      <c r="Q27" s="6">
        <f t="shared" si="7"/>
        <v>0.18850000000000003</v>
      </c>
      <c r="R27" s="6">
        <f t="shared" si="7"/>
        <v>0.24250000000000002</v>
      </c>
    </row>
    <row r="29" spans="1:18">
      <c r="B29" s="50">
        <f>B25-B27</f>
        <v>2.9999999999996696E-4</v>
      </c>
      <c r="C29" s="50">
        <f t="shared" ref="C29:F29" si="8">C25-C27</f>
        <v>4.9999999999994493E-4</v>
      </c>
      <c r="D29" s="50">
        <f t="shared" si="8"/>
        <v>-2.9999999999999472E-4</v>
      </c>
      <c r="E29" s="50">
        <f t="shared" si="8"/>
        <v>-4.0000000000000018E-4</v>
      </c>
      <c r="F29" s="50">
        <f t="shared" si="8"/>
        <v>-4.0000000000001146E-4</v>
      </c>
      <c r="H29" s="50">
        <f>H25-H27</f>
        <v>4.9999999999994493E-4</v>
      </c>
      <c r="I29" s="50">
        <f t="shared" ref="I29:L29" si="9">I25-I27</f>
        <v>4.9999999999994493E-4</v>
      </c>
      <c r="J29" s="50">
        <f t="shared" si="9"/>
        <v>-4.0000000000003921E-4</v>
      </c>
      <c r="K29" s="50">
        <f t="shared" si="9"/>
        <v>0</v>
      </c>
      <c r="L29" s="50">
        <f t="shared" si="9"/>
        <v>0</v>
      </c>
      <c r="O29" s="50">
        <f t="shared" ref="O29:R29" si="10">O25-O27</f>
        <v>4.9999999999997269E-4</v>
      </c>
      <c r="P29" s="50">
        <f t="shared" si="10"/>
        <v>4.0000000000003921E-4</v>
      </c>
      <c r="Q29" s="50">
        <f t="shared" si="10"/>
        <v>4.9999999999997269E-4</v>
      </c>
      <c r="R29" s="50">
        <f t="shared" si="10"/>
        <v>4.9999999999997269E-4</v>
      </c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663CB-4761-42FB-8FE9-A7012331D263}">
  <dimension ref="A2:V32"/>
  <sheetViews>
    <sheetView workbookViewId="0">
      <pane xSplit="1" ySplit="4" topLeftCell="B5" activePane="bottomRight" state="frozen"/>
      <selection activeCell="N5" sqref="N5"/>
      <selection pane="topRight" activeCell="N5" sqref="N5"/>
      <selection pane="bottomLeft" activeCell="N5" sqref="N5"/>
      <selection pane="bottomRight" activeCell="A15" sqref="A15"/>
    </sheetView>
  </sheetViews>
  <sheetFormatPr defaultRowHeight="12.75"/>
  <cols>
    <col min="1" max="1" width="23.140625" bestFit="1" customWidth="1"/>
    <col min="2" max="2" width="9.28515625" customWidth="1"/>
    <col min="3" max="4" width="23.140625" customWidth="1"/>
    <col min="5" max="9" width="10.7109375" customWidth="1"/>
    <col min="10" max="10" width="2.7109375" customWidth="1"/>
    <col min="11" max="15" width="10.7109375" customWidth="1"/>
    <col min="16" max="16" width="2.42578125" customWidth="1"/>
    <col min="17" max="17" width="23.140625" customWidth="1"/>
    <col min="18" max="21" width="9.140625" customWidth="1"/>
  </cols>
  <sheetData>
    <row r="2" spans="1:22">
      <c r="E2" s="40" t="s">
        <v>113</v>
      </c>
      <c r="F2" s="41"/>
      <c r="G2" s="41"/>
      <c r="H2" s="41"/>
      <c r="I2" s="41"/>
      <c r="K2" s="40" t="s">
        <v>35</v>
      </c>
      <c r="L2" s="41"/>
      <c r="M2" s="41"/>
      <c r="N2" s="41"/>
      <c r="O2" s="41"/>
    </row>
    <row r="3" spans="1:22">
      <c r="E3" s="2" t="s">
        <v>9</v>
      </c>
      <c r="F3" s="2" t="s">
        <v>115</v>
      </c>
      <c r="G3" s="2" t="s">
        <v>12</v>
      </c>
      <c r="H3" s="2" t="s">
        <v>116</v>
      </c>
      <c r="I3" s="2" t="s">
        <v>117</v>
      </c>
      <c r="K3" s="2" t="s">
        <v>9</v>
      </c>
      <c r="L3" s="2" t="s">
        <v>115</v>
      </c>
      <c r="M3" s="2" t="s">
        <v>12</v>
      </c>
      <c r="N3" s="2" t="s">
        <v>116</v>
      </c>
      <c r="O3" s="2" t="s">
        <v>117</v>
      </c>
    </row>
    <row r="4" spans="1:22">
      <c r="A4" s="1" t="s">
        <v>140</v>
      </c>
      <c r="B4" s="1" t="s">
        <v>141</v>
      </c>
      <c r="C4" s="51" t="s">
        <v>142</v>
      </c>
      <c r="D4" s="51" t="s">
        <v>143</v>
      </c>
      <c r="E4" s="2" t="s">
        <v>18</v>
      </c>
      <c r="F4" s="2" t="s">
        <v>20</v>
      </c>
      <c r="G4" s="2" t="s">
        <v>24</v>
      </c>
      <c r="H4" s="2" t="s">
        <v>26</v>
      </c>
      <c r="I4" s="2" t="s">
        <v>30</v>
      </c>
      <c r="K4" s="2" t="s">
        <v>18</v>
      </c>
      <c r="L4" s="2" t="s">
        <v>20</v>
      </c>
      <c r="M4" s="2" t="s">
        <v>24</v>
      </c>
      <c r="N4" s="2" t="s">
        <v>26</v>
      </c>
      <c r="O4" s="2" t="s">
        <v>30</v>
      </c>
      <c r="R4" s="2" t="s">
        <v>107</v>
      </c>
      <c r="S4" s="2" t="s">
        <v>108</v>
      </c>
      <c r="T4" s="2" t="s">
        <v>119</v>
      </c>
      <c r="U4" s="2" t="s">
        <v>110</v>
      </c>
      <c r="V4" s="1" t="s">
        <v>141</v>
      </c>
    </row>
    <row r="5" spans="1:22">
      <c r="A5" s="52" t="s">
        <v>42</v>
      </c>
      <c r="B5" s="52" t="s">
        <v>144</v>
      </c>
      <c r="C5" t="s">
        <v>145</v>
      </c>
      <c r="D5" t="s">
        <v>146</v>
      </c>
      <c r="E5" s="6">
        <f>ROUND('Components UNIV HS &amp; FGP'!B5/'Components UNIV HS &amp; FGP'!$B$25,3)</f>
        <v>0.46500000000000002</v>
      </c>
      <c r="F5" s="6">
        <f>ROUND('Components UNIV HS &amp; FGP'!C5/'Components UNIV HS &amp; FGP'!$C$25,3)</f>
        <v>0</v>
      </c>
      <c r="G5" s="6">
        <f>ROUND('Components UNIV HS &amp; FGP'!D5/'Components UNIV HS &amp; FGP'!$D$25,3)-0.0016</f>
        <v>0.88539999999999996</v>
      </c>
      <c r="H5" s="6">
        <f>ROUND('Components UNIV HS &amp; FGP'!E5/'Components UNIV HS &amp; FGP'!$E$25,3)</f>
        <v>0</v>
      </c>
      <c r="I5" s="6">
        <f>ROUND('Components UNIV HS &amp; FGP'!F5/'Components UNIV HS &amp; FGP'!$F$25,3)</f>
        <v>0</v>
      </c>
      <c r="K5" s="6">
        <f>ROUND('Components UNIV HS &amp; FGP'!H5/'Components UNIV HS &amp; FGP'!H$25,3)</f>
        <v>0.35499999999999998</v>
      </c>
      <c r="L5" s="6">
        <f>ROUND('Components UNIV HS &amp; FGP'!I5/'Components UNIV HS &amp; FGP'!I$25,3)</f>
        <v>0</v>
      </c>
      <c r="M5" s="6">
        <f>ROUND('Components UNIV HS &amp; FGP'!J5/'Components UNIV HS &amp; FGP'!J$25,3)</f>
        <v>0.877</v>
      </c>
      <c r="N5" s="6">
        <f>ROUND('Components UNIV HS &amp; FGP'!K5/'Components UNIV HS &amp; FGP'!K$25,3)</f>
        <v>0</v>
      </c>
      <c r="O5" s="6">
        <f>ROUND('Components UNIV HS &amp; FGP'!L5/'Components UNIV HS &amp; FGP'!L$25,3)</f>
        <v>0</v>
      </c>
      <c r="Q5" s="43" t="s">
        <v>114</v>
      </c>
      <c r="R5" s="6">
        <f>ROUND('Components UNIV HS &amp; FGP'!O5/'Components UNIV HS &amp; FGP'!O$25,3)</f>
        <v>0.67100000000000004</v>
      </c>
      <c r="S5" s="6">
        <f>ROUND('Components UNIV HS &amp; FGP'!P5/'Components UNIV HS &amp; FGP'!P$25,3)</f>
        <v>0.754</v>
      </c>
      <c r="T5" s="6">
        <f>ROUND('Components UNIV HS &amp; FGP'!Q5/'Components UNIV HS &amp; FGP'!Q$25,3)</f>
        <v>0</v>
      </c>
      <c r="U5" s="6">
        <f>ROUND('Components UNIV HS &amp; FGP'!R5/'Components UNIV HS &amp; FGP'!R$25,3)</f>
        <v>0.79800000000000004</v>
      </c>
      <c r="V5" s="2" t="s">
        <v>147</v>
      </c>
    </row>
    <row r="6" spans="1:22">
      <c r="A6" s="52" t="s">
        <v>44</v>
      </c>
      <c r="B6" s="52" t="s">
        <v>148</v>
      </c>
      <c r="C6" t="s">
        <v>145</v>
      </c>
      <c r="D6" t="s">
        <v>146</v>
      </c>
      <c r="E6" s="6">
        <f>ROUND('Components UNIV HS &amp; FGP'!B6/'Components UNIV HS &amp; FGP'!$B$25,3)</f>
        <v>0</v>
      </c>
      <c r="F6" s="6">
        <f>ROUND('Components UNIV HS &amp; FGP'!C6/'Components UNIV HS &amp; FGP'!$C$25,3)</f>
        <v>0.36099999999999999</v>
      </c>
      <c r="G6" s="6">
        <f>ROUND('Components UNIV HS &amp; FGP'!D6/'Components UNIV HS &amp; FGP'!$D$25,3)</f>
        <v>0</v>
      </c>
      <c r="H6" s="6">
        <f>ROUND('Components UNIV HS &amp; FGP'!E6/'Components UNIV HS &amp; FGP'!$E$25,3)</f>
        <v>0</v>
      </c>
      <c r="I6" s="6">
        <f>ROUND('Components UNIV HS &amp; FGP'!F6/'Components UNIV HS &amp; FGP'!$F$25,3)</f>
        <v>0</v>
      </c>
      <c r="K6" s="6">
        <f>ROUND('Components UNIV HS &amp; FGP'!H6/'Components UNIV HS &amp; FGP'!H$25,3)</f>
        <v>0</v>
      </c>
      <c r="L6" s="6">
        <f>ROUND('Components UNIV HS &amp; FGP'!I6/'Components UNIV HS &amp; FGP'!I$25,3)</f>
        <v>0.371</v>
      </c>
      <c r="M6" s="6">
        <f>ROUND('Components UNIV HS &amp; FGP'!J6/'Components UNIV HS &amp; FGP'!J$25,3)</f>
        <v>0</v>
      </c>
      <c r="N6" s="6">
        <f>ROUND('Components UNIV HS &amp; FGP'!K6/'Components UNIV HS &amp; FGP'!K$25,3)</f>
        <v>0</v>
      </c>
      <c r="O6" s="6">
        <f>ROUND('Components UNIV HS &amp; FGP'!L6/'Components UNIV HS &amp; FGP'!L$25,3)</f>
        <v>0</v>
      </c>
      <c r="Q6" s="43" t="s">
        <v>42</v>
      </c>
      <c r="R6" s="6">
        <f>ROUND('Components UNIV HS &amp; FGP'!O6/'Components UNIV HS &amp; FGP'!O$25,3)</f>
        <v>0</v>
      </c>
      <c r="S6" s="6">
        <f>ROUND('Components UNIV HS &amp; FGP'!P6/'Components UNIV HS &amp; FGP'!P$25,3)</f>
        <v>0</v>
      </c>
      <c r="T6" s="6">
        <f>ROUND('Components UNIV HS &amp; FGP'!Q6/'Components UNIV HS &amp; FGP'!Q$25,3)</f>
        <v>0.74099999999999999</v>
      </c>
      <c r="U6" s="6">
        <f>ROUND('Components UNIV HS &amp; FGP'!R6/'Components UNIV HS &amp; FGP'!R$25,3)</f>
        <v>0</v>
      </c>
      <c r="V6" s="2"/>
    </row>
    <row r="7" spans="1:22">
      <c r="A7" s="52" t="s">
        <v>45</v>
      </c>
      <c r="B7" s="53" t="s">
        <v>149</v>
      </c>
      <c r="C7" t="s">
        <v>145</v>
      </c>
      <c r="D7" t="s">
        <v>146</v>
      </c>
      <c r="E7" s="6">
        <f>ROUND('Components UNIV HS &amp; FGP'!B7/'Components UNIV HS &amp; FGP'!$B$25,3)</f>
        <v>0.05</v>
      </c>
      <c r="F7" s="6">
        <f>ROUND('Components UNIV HS &amp; FGP'!C7/'Components UNIV HS &amp; FGP'!$C$25,3)</f>
        <v>3.9E-2</v>
      </c>
      <c r="G7" s="6">
        <f>ROUND('Components UNIV HS &amp; FGP'!D7/'Components UNIV HS &amp; FGP'!$D$25,3)</f>
        <v>9.6000000000000002E-2</v>
      </c>
      <c r="H7" s="6">
        <f>ROUND('Components UNIV HS &amp; FGP'!E7/'Components UNIV HS &amp; FGP'!$E$25,3)</f>
        <v>0</v>
      </c>
      <c r="I7" s="6">
        <f>ROUND('Components UNIV HS &amp; FGP'!F7/'Components UNIV HS &amp; FGP'!$F$25,3)</f>
        <v>0</v>
      </c>
      <c r="K7" s="6">
        <f>ROUND('Components UNIV HS &amp; FGP'!H7/'Components UNIV HS &amp; FGP'!H$25,3)</f>
        <v>3.7999999999999999E-2</v>
      </c>
      <c r="L7" s="6">
        <f>ROUND('Components UNIV HS &amp; FGP'!I7/'Components UNIV HS &amp; FGP'!I$25,3)</f>
        <v>0.04</v>
      </c>
      <c r="M7" s="6">
        <f>ROUND('Components UNIV HS &amp; FGP'!J7/'Components UNIV HS &amp; FGP'!J$25,3)</f>
        <v>9.4E-2</v>
      </c>
      <c r="N7" s="6">
        <f>ROUND('Components UNIV HS &amp; FGP'!K7/'Components UNIV HS &amp; FGP'!K$25,3)</f>
        <v>0</v>
      </c>
      <c r="O7" s="6">
        <f>ROUND('Components UNIV HS &amp; FGP'!L7/'Components UNIV HS &amp; FGP'!L$25,3)</f>
        <v>0</v>
      </c>
      <c r="Q7" s="43" t="s">
        <v>120</v>
      </c>
      <c r="R7" s="6">
        <f>ROUND('Components UNIV HS &amp; FGP'!O7/'Components UNIV HS &amp; FGP'!O$25,3)</f>
        <v>0.10100000000000001</v>
      </c>
      <c r="S7" s="6">
        <f>ROUND('Components UNIV HS &amp; FGP'!P7/'Components UNIV HS &amp; FGP'!P$25,3)</f>
        <v>7.4999999999999997E-2</v>
      </c>
      <c r="T7" s="6">
        <f>ROUND('Components UNIV HS &amp; FGP'!Q7/'Components UNIV HS &amp; FGP'!Q$25,3)</f>
        <v>7.9000000000000001E-2</v>
      </c>
      <c r="U7" s="6">
        <f>ROUND('Components UNIV HS &amp; FGP'!R7/'Components UNIV HS &amp; FGP'!R$25,3)+0.0005</f>
        <v>6.25E-2</v>
      </c>
    </row>
    <row r="8" spans="1:22">
      <c r="A8" s="54" t="s">
        <v>121</v>
      </c>
      <c r="B8" s="55" t="s">
        <v>150</v>
      </c>
      <c r="C8" t="s">
        <v>145</v>
      </c>
      <c r="D8" t="s">
        <v>146</v>
      </c>
      <c r="E8" s="44">
        <f>ROUND('Components UNIV HS &amp; FGP'!B8/'Components UNIV HS &amp; FGP'!$B$25,3)-0.0018</f>
        <v>0.34819999999999995</v>
      </c>
      <c r="F8" s="44">
        <f>ROUND('Components UNIV HS &amp; FGP'!C8/'Components UNIV HS &amp; FGP'!$C$25,3)-0.001</f>
        <v>0.44</v>
      </c>
      <c r="G8" s="44">
        <f>ROUND('Components UNIV HS &amp; FGP'!D8/'Components UNIV HS &amp; FGP'!$D$25,3)</f>
        <v>0</v>
      </c>
      <c r="H8" s="44">
        <f>ROUND('Components UNIV HS &amp; FGP'!E8/'Components UNIV HS &amp; FGP'!$E$25,3)</f>
        <v>0</v>
      </c>
      <c r="I8" s="44">
        <f>ROUND('Components UNIV HS &amp; FGP'!F8/'Components UNIV HS &amp; FGP'!$F$25,3)</f>
        <v>0</v>
      </c>
      <c r="J8" s="45"/>
      <c r="K8" s="44">
        <f>ROUND('Components UNIV HS &amp; FGP'!H8/'Components UNIV HS &amp; FGP'!H$25,3)+0.0005</f>
        <v>0.44550000000000001</v>
      </c>
      <c r="L8" s="44">
        <f>ROUND('Components UNIV HS &amp; FGP'!I8/'Components UNIV HS &amp; FGP'!I$25,3)-0.0017</f>
        <v>0.42530000000000001</v>
      </c>
      <c r="M8" s="44">
        <f>ROUND('Components UNIV HS &amp; FGP'!J8/'Components UNIV HS &amp; FGP'!J$25,3)</f>
        <v>0</v>
      </c>
      <c r="N8" s="44">
        <f>ROUND('Components UNIV HS &amp; FGP'!K8/'Components UNIV HS &amp; FGP'!K$25,3)</f>
        <v>0</v>
      </c>
      <c r="O8" s="44">
        <f>ROUND('Components UNIV HS &amp; FGP'!L8/'Components UNIV HS &amp; FGP'!L$25,3)</f>
        <v>0</v>
      </c>
      <c r="Q8" s="44" t="s">
        <v>121</v>
      </c>
      <c r="R8" s="6">
        <f>ROUND('Components UNIV HS &amp; FGP'!O8/'Components UNIV HS &amp; FGP'!O$25,3)</f>
        <v>0.128</v>
      </c>
      <c r="S8" s="6">
        <f>ROUND('Components UNIV HS &amp; FGP'!P8/'Components UNIV HS &amp; FGP'!P$25,3)-0.002</f>
        <v>9.2999999999999999E-2</v>
      </c>
      <c r="T8" s="6">
        <f>ROUND('Components UNIV HS &amp; FGP'!Q8/'Components UNIV HS &amp; FGP'!Q$25,3)-0.001</f>
        <v>0.1</v>
      </c>
      <c r="U8" s="6">
        <f>ROUND('Components UNIV HS &amp; FGP'!R8/'Components UNIV HS &amp; FGP'!R$25,3)+0.001</f>
        <v>7.9000000000000001E-2</v>
      </c>
    </row>
    <row r="9" spans="1:22">
      <c r="A9" s="54" t="s">
        <v>122</v>
      </c>
      <c r="B9" s="55" t="s">
        <v>151</v>
      </c>
      <c r="C9" t="s">
        <v>145</v>
      </c>
      <c r="D9" t="s">
        <v>146</v>
      </c>
      <c r="E9" s="44">
        <f>ROUND('Components UNIV HS &amp; FGP'!B9/'Components UNIV HS &amp; FGP'!$B$25,3)</f>
        <v>0.05</v>
      </c>
      <c r="F9" s="44">
        <f>ROUND('Components UNIV HS &amp; FGP'!C9/'Components UNIV HS &amp; FGP'!$C$25,3)</f>
        <v>6.2E-2</v>
      </c>
      <c r="G9" s="44">
        <f>ROUND('Components UNIV HS &amp; FGP'!D9/'Components UNIV HS &amp; FGP'!$D$25,3)</f>
        <v>0</v>
      </c>
      <c r="H9" s="44">
        <f>ROUND('Components UNIV HS &amp; FGP'!E9/'Components UNIV HS &amp; FGP'!$E$25,3)</f>
        <v>0</v>
      </c>
      <c r="I9" s="44">
        <f>ROUND('Components UNIV HS &amp; FGP'!F9/'Components UNIV HS &amp; FGP'!$F$25,3)</f>
        <v>0</v>
      </c>
      <c r="J9" s="45"/>
      <c r="K9" s="44">
        <f>ROUND('Components UNIV HS &amp; FGP'!H9/'Components UNIV HS &amp; FGP'!H$25,3)</f>
        <v>6.0999999999999999E-2</v>
      </c>
      <c r="L9" s="44">
        <f>ROUND('Components UNIV HS &amp; FGP'!I9/'Components UNIV HS &amp; FGP'!I$25,3)</f>
        <v>6.0999999999999999E-2</v>
      </c>
      <c r="M9" s="44">
        <f>ROUND('Components UNIV HS &amp; FGP'!J9/'Components UNIV HS &amp; FGP'!J$25,3)</f>
        <v>0</v>
      </c>
      <c r="N9" s="44">
        <f>ROUND('Components UNIV HS &amp; FGP'!K9/'Components UNIV HS &amp; FGP'!K$25,3)</f>
        <v>0</v>
      </c>
      <c r="O9" s="44">
        <f>ROUND('Components UNIV HS &amp; FGP'!L9/'Components UNIV HS &amp; FGP'!L$25,3)</f>
        <v>0</v>
      </c>
      <c r="Q9" s="44" t="s">
        <v>122</v>
      </c>
      <c r="R9" s="6">
        <f>ROUND('Components UNIV HS &amp; FGP'!O9/'Components UNIV HS &amp; FGP'!O$25,3)</f>
        <v>0.02</v>
      </c>
      <c r="S9" s="6">
        <f>ROUND('Components UNIV HS &amp; FGP'!P9/'Components UNIV HS &amp; FGP'!P$25,3)</f>
        <v>1.4999999999999999E-2</v>
      </c>
      <c r="T9" s="6">
        <f>ROUND('Components UNIV HS &amp; FGP'!Q9/'Components UNIV HS &amp; FGP'!Q$25,3)</f>
        <v>1.6E-2</v>
      </c>
      <c r="U9" s="6">
        <f>ROUND('Components UNIV HS &amp; FGP'!R9/'Components UNIV HS &amp; FGP'!R$25,3)</f>
        <v>1.2E-2</v>
      </c>
    </row>
    <row r="10" spans="1:22">
      <c r="A10" s="54" t="s">
        <v>123</v>
      </c>
      <c r="B10" s="55" t="s">
        <v>152</v>
      </c>
      <c r="C10" t="s">
        <v>145</v>
      </c>
      <c r="D10" t="s">
        <v>146</v>
      </c>
      <c r="E10" s="44">
        <f>ROUND('Components UNIV HS &amp; FGP'!B10/'Components UNIV HS &amp; FGP'!$B$25,3)</f>
        <v>3.0000000000000001E-3</v>
      </c>
      <c r="F10" s="44">
        <f>ROUND('Components UNIV HS &amp; FGP'!C10/'Components UNIV HS &amp; FGP'!$C$25,3)</f>
        <v>5.0000000000000001E-3</v>
      </c>
      <c r="G10" s="44">
        <f>ROUND('Components UNIV HS &amp; FGP'!D10/'Components UNIV HS &amp; FGP'!$D$25,3)</f>
        <v>0</v>
      </c>
      <c r="H10" s="44">
        <f>ROUND('Components UNIV HS &amp; FGP'!E10/'Components UNIV HS &amp; FGP'!$E$25,3)</f>
        <v>0</v>
      </c>
      <c r="I10" s="44">
        <f>ROUND('Components UNIV HS &amp; FGP'!F10/'Components UNIV HS &amp; FGP'!$F$25,3)</f>
        <v>0</v>
      </c>
      <c r="J10" s="45"/>
      <c r="K10" s="44">
        <f>ROUND('Components UNIV HS &amp; FGP'!H10/'Components UNIV HS &amp; FGP'!H$25,3)</f>
        <v>5.0000000000000001E-3</v>
      </c>
      <c r="L10" s="44">
        <f>ROUND('Components UNIV HS &amp; FGP'!I10/'Components UNIV HS &amp; FGP'!I$25,3)</f>
        <v>5.0000000000000001E-3</v>
      </c>
      <c r="M10" s="44">
        <f>ROUND('Components UNIV HS &amp; FGP'!J10/'Components UNIV HS &amp; FGP'!J$25,3)</f>
        <v>0</v>
      </c>
      <c r="N10" s="44">
        <f>ROUND('Components UNIV HS &amp; FGP'!K10/'Components UNIV HS &amp; FGP'!K$25,3)</f>
        <v>0</v>
      </c>
      <c r="O10" s="44">
        <f>ROUND('Components UNIV HS &amp; FGP'!L10/'Components UNIV HS &amp; FGP'!L$25,3)</f>
        <v>0</v>
      </c>
      <c r="Q10" s="44" t="s">
        <v>123</v>
      </c>
      <c r="R10" s="6">
        <f>ROUND('Components UNIV HS &amp; FGP'!O10/'Components UNIV HS &amp; FGP'!O$25,3)</f>
        <v>7.0000000000000001E-3</v>
      </c>
      <c r="S10" s="6">
        <f>ROUND('Components UNIV HS &amp; FGP'!P10/'Components UNIV HS &amp; FGP'!P$25,3)</f>
        <v>5.0000000000000001E-3</v>
      </c>
      <c r="T10" s="6">
        <f>ROUND('Components UNIV HS &amp; FGP'!Q10/'Components UNIV HS &amp; FGP'!Q$25,3)</f>
        <v>5.0000000000000001E-3</v>
      </c>
      <c r="U10" s="6">
        <f>ROUND('Components UNIV HS &amp; FGP'!R10/'Components UNIV HS &amp; FGP'!R$25,3)</f>
        <v>4.0000000000000001E-3</v>
      </c>
    </row>
    <row r="11" spans="1:22">
      <c r="A11" s="54" t="s">
        <v>124</v>
      </c>
      <c r="B11" s="55" t="s">
        <v>153</v>
      </c>
      <c r="C11" t="s">
        <v>145</v>
      </c>
      <c r="D11" t="s">
        <v>146</v>
      </c>
      <c r="E11" s="44">
        <f>ROUND('Components UNIV HS &amp; FGP'!B11/'Components UNIV HS &amp; FGP'!$B$25,3)</f>
        <v>3.0000000000000001E-3</v>
      </c>
      <c r="F11" s="44">
        <f>ROUND('Components UNIV HS &amp; FGP'!C11/'Components UNIV HS &amp; FGP'!$C$25,3)</f>
        <v>5.0000000000000001E-3</v>
      </c>
      <c r="G11" s="44">
        <f>ROUND('Components UNIV HS &amp; FGP'!D11/'Components UNIV HS &amp; FGP'!$D$25,3)</f>
        <v>0</v>
      </c>
      <c r="H11" s="44">
        <f>ROUND('Components UNIV HS &amp; FGP'!E11/'Components UNIV HS &amp; FGP'!$E$25,3)</f>
        <v>0</v>
      </c>
      <c r="I11" s="44">
        <f>ROUND('Components UNIV HS &amp; FGP'!F11/'Components UNIV HS &amp; FGP'!$F$25,3)</f>
        <v>0</v>
      </c>
      <c r="J11" s="45"/>
      <c r="K11" s="44">
        <f>ROUND('Components UNIV HS &amp; FGP'!H11/'Components UNIV HS &amp; FGP'!H$25,3)</f>
        <v>5.0000000000000001E-3</v>
      </c>
      <c r="L11" s="44">
        <f>ROUND('Components UNIV HS &amp; FGP'!I11/'Components UNIV HS &amp; FGP'!I$25,3)</f>
        <v>5.0000000000000001E-3</v>
      </c>
      <c r="M11" s="44">
        <f>ROUND('Components UNIV HS &amp; FGP'!J11/'Components UNIV HS &amp; FGP'!J$25,3)</f>
        <v>0</v>
      </c>
      <c r="N11" s="44">
        <f>ROUND('Components UNIV HS &amp; FGP'!K11/'Components UNIV HS &amp; FGP'!K$25,3)</f>
        <v>0</v>
      </c>
      <c r="O11" s="44">
        <f>ROUND('Components UNIV HS &amp; FGP'!L11/'Components UNIV HS &amp; FGP'!L$25,3)</f>
        <v>0</v>
      </c>
      <c r="Q11" s="44" t="s">
        <v>124</v>
      </c>
      <c r="R11" s="6">
        <f>ROUND('Components UNIV HS &amp; FGP'!O11/'Components UNIV HS &amp; FGP'!O$25,3)</f>
        <v>0</v>
      </c>
      <c r="S11" s="6">
        <f>ROUND('Components UNIV HS &amp; FGP'!P11/'Components UNIV HS &amp; FGP'!P$25,3)</f>
        <v>0</v>
      </c>
      <c r="T11" s="6">
        <f>ROUND('Components UNIV HS &amp; FGP'!Q11/'Components UNIV HS &amp; FGP'!Q$25,3)</f>
        <v>0</v>
      </c>
      <c r="U11" s="6">
        <f>ROUND('Components UNIV HS &amp; FGP'!R11/'Components UNIV HS &amp; FGP'!R$25,3)</f>
        <v>0</v>
      </c>
    </row>
    <row r="12" spans="1:22">
      <c r="A12" s="54" t="s">
        <v>125</v>
      </c>
      <c r="B12" s="55"/>
      <c r="C12" t="s">
        <v>145</v>
      </c>
      <c r="D12" t="s">
        <v>146</v>
      </c>
      <c r="E12" s="44">
        <f>SUM(E8:E11)</f>
        <v>0.40419999999999995</v>
      </c>
      <c r="F12" s="44">
        <f t="shared" ref="F12:I12" si="0">SUM(F8:F11)</f>
        <v>0.51200000000000001</v>
      </c>
      <c r="G12" s="44">
        <f t="shared" si="0"/>
        <v>0</v>
      </c>
      <c r="H12" s="44">
        <f t="shared" si="0"/>
        <v>0</v>
      </c>
      <c r="I12" s="44">
        <f t="shared" si="0"/>
        <v>0</v>
      </c>
      <c r="J12" s="45"/>
      <c r="K12" s="44">
        <f t="shared" ref="K12:O12" si="1">SUM(K8:K11)</f>
        <v>0.51649999999999996</v>
      </c>
      <c r="L12" s="44">
        <f t="shared" si="1"/>
        <v>0.49630000000000002</v>
      </c>
      <c r="M12" s="44">
        <f t="shared" si="1"/>
        <v>0</v>
      </c>
      <c r="N12" s="44">
        <f t="shared" si="1"/>
        <v>0</v>
      </c>
      <c r="O12" s="44">
        <f t="shared" si="1"/>
        <v>0</v>
      </c>
      <c r="Q12" s="44" t="s">
        <v>125</v>
      </c>
      <c r="R12" s="50">
        <f>SUM(R8:R11)</f>
        <v>0.155</v>
      </c>
      <c r="S12" s="50">
        <f t="shared" ref="S12:U12" si="2">SUM(S8:S11)</f>
        <v>0.113</v>
      </c>
      <c r="T12" s="50">
        <f t="shared" si="2"/>
        <v>0.12100000000000001</v>
      </c>
      <c r="U12" s="50">
        <f t="shared" si="2"/>
        <v>9.5000000000000001E-2</v>
      </c>
    </row>
    <row r="13" spans="1:22">
      <c r="A13" s="54" t="s">
        <v>126</v>
      </c>
      <c r="B13" s="55"/>
      <c r="C13" t="s">
        <v>145</v>
      </c>
      <c r="D13" t="s">
        <v>146</v>
      </c>
      <c r="E13" s="44">
        <f>ROUND('Components UNIV HS &amp; FGP'!B13/'Components UNIV HS &amp; FGP'!$B$25,3)</f>
        <v>0.40400000000000003</v>
      </c>
      <c r="F13" s="44">
        <f>ROUND('Components UNIV HS &amp; FGP'!C13/'Components UNIV HS &amp; FGP'!$C$25,3)</f>
        <v>0.51200000000000001</v>
      </c>
      <c r="G13" s="44">
        <f>ROUND('Components UNIV HS &amp; FGP'!D13/'Components UNIV HS &amp; FGP'!$D$25,3)</f>
        <v>0</v>
      </c>
      <c r="H13" s="44">
        <f>ROUND('Components UNIV HS &amp; FGP'!E13/'Components UNIV HS &amp; FGP'!$E$25,3)</f>
        <v>0</v>
      </c>
      <c r="I13" s="44">
        <f>ROUND('Components UNIV HS &amp; FGP'!F13/'Components UNIV HS &amp; FGP'!$F$25,3)</f>
        <v>0</v>
      </c>
      <c r="J13" s="45"/>
      <c r="K13" s="44">
        <f>ROUND('Components UNIV HS &amp; FGP'!H13/'Components UNIV HS &amp; FGP'!H$25,3)-0.00051</f>
        <v>0.51749000000000001</v>
      </c>
      <c r="L13" s="44">
        <f>ROUND('Components UNIV HS &amp; FGP'!I13/'Components UNIV HS &amp; FGP'!I$25,3)-0.0007</f>
        <v>0.49630000000000002</v>
      </c>
      <c r="M13" s="44">
        <f>ROUND('Components UNIV HS &amp; FGP'!J13/'Components UNIV HS &amp; FGP'!J$25,3)</f>
        <v>0</v>
      </c>
      <c r="N13" s="44">
        <f>ROUND('Components UNIV HS &amp; FGP'!K13/'Components UNIV HS &amp; FGP'!K$25,3)</f>
        <v>0</v>
      </c>
      <c r="O13" s="44">
        <f>ROUND('Components UNIV HS &amp; FGP'!L13/'Components UNIV HS &amp; FGP'!L$25,3)</f>
        <v>0</v>
      </c>
      <c r="Q13" s="43" t="s">
        <v>126</v>
      </c>
      <c r="R13" s="6">
        <f>ROUND('Components UNIV HS &amp; FGP'!O13/'Components UNIV HS &amp; FGP'!O$25,3)</f>
        <v>0.154</v>
      </c>
      <c r="S13" s="6">
        <f>ROUND('Components UNIV HS &amp; FGP'!P13/'Components UNIV HS &amp; FGP'!P$25,3)-0.002</f>
        <v>0.114</v>
      </c>
      <c r="T13" s="6">
        <f>ROUND('Components UNIV HS &amp; FGP'!Q13/'Components UNIV HS &amp; FGP'!Q$25,3)-0.001</f>
        <v>0.121</v>
      </c>
      <c r="U13" s="6">
        <f>ROUND('Components UNIV HS &amp; FGP'!R13/'Components UNIV HS &amp; FGP'!R$25,3)</f>
        <v>9.5000000000000001E-2</v>
      </c>
    </row>
    <row r="14" spans="1:22">
      <c r="A14" s="52" t="s">
        <v>154</v>
      </c>
      <c r="B14" s="52" t="s">
        <v>155</v>
      </c>
      <c r="C14" t="s">
        <v>145</v>
      </c>
      <c r="D14" t="s">
        <v>146</v>
      </c>
      <c r="E14" s="6">
        <f>ROUND('Components UNIV HS &amp; FGP'!B14/'Components UNIV HS &amp; FGP'!$B$25,3)</f>
        <v>7.0000000000000001E-3</v>
      </c>
      <c r="F14" s="6">
        <f>ROUND('Components UNIV HS &amp; FGP'!C14/'Components UNIV HS &amp; FGP'!$C$25,3)-0.0016</f>
        <v>3.4000000000000002E-3</v>
      </c>
      <c r="G14" s="6">
        <f>ROUND('Components UNIV HS &amp; FGP'!D14/'Components UNIV HS &amp; FGP'!$D$25,3)</f>
        <v>0.01</v>
      </c>
      <c r="H14" s="6">
        <f>0.002/0.003</f>
        <v>0.66666666666666663</v>
      </c>
      <c r="I14" s="6">
        <f>ROUND('Components UNIV HS &amp; FGP'!F14/'Components UNIV HS &amp; FGP'!$F$25,3)</f>
        <v>1.4999999999999999E-2</v>
      </c>
      <c r="K14" s="6">
        <f>ROUND('Components UNIV HS &amp; FGP'!H14/'Components UNIV HS &amp; FGP'!H$25,3)</f>
        <v>5.0000000000000001E-3</v>
      </c>
      <c r="L14" s="6">
        <f>ROUND('Components UNIV HS &amp; FGP'!I14/'Components UNIV HS &amp; FGP'!I$25,3)</f>
        <v>7.0000000000000001E-3</v>
      </c>
      <c r="M14" s="6">
        <f>ROUND('Components UNIV HS &amp; FGP'!J14/'Components UNIV HS &amp; FGP'!J$25,3)-0.00155</f>
        <v>7.4499999999999992E-3</v>
      </c>
      <c r="N14" s="6">
        <f>ROUND('Components UNIV HS &amp; FGP'!K14/'Components UNIV HS &amp; FGP'!K$25,3)</f>
        <v>0.4</v>
      </c>
      <c r="O14" s="6">
        <f>ROUND('Components UNIV HS &amp; FGP'!L14/'Components UNIV HS &amp; FGP'!L$25,3)</f>
        <v>1.4999999999999999E-2</v>
      </c>
      <c r="Q14" s="43" t="s">
        <v>127</v>
      </c>
      <c r="R14" s="6">
        <f>ROUND('Components UNIV HS &amp; FGP'!O14/'Components UNIV HS &amp; FGP'!O$25,3)</f>
        <v>1.2999999999999999E-2</v>
      </c>
      <c r="S14" s="6">
        <f>ROUND('Components UNIV HS &amp; FGP'!P14/'Components UNIV HS &amp; FGP'!P$25,3)</f>
        <v>0.01</v>
      </c>
      <c r="T14" s="6">
        <f>ROUND('Components UNIV HS &amp; FGP'!Q14/'Components UNIV HS &amp; FGP'!Q$25,3)</f>
        <v>1.0999999999999999E-2</v>
      </c>
      <c r="U14" s="6">
        <f>ROUND('Components UNIV HS &amp; FGP'!R14/'Components UNIV HS &amp; FGP'!R$25,3)</f>
        <v>8.0000000000000002E-3</v>
      </c>
    </row>
    <row r="15" spans="1:22">
      <c r="A15" s="52" t="s">
        <v>46</v>
      </c>
      <c r="B15" s="52" t="s">
        <v>156</v>
      </c>
      <c r="C15" t="s">
        <v>145</v>
      </c>
      <c r="D15" t="s">
        <v>146</v>
      </c>
      <c r="E15" s="6">
        <f>ROUND('Components UNIV HS &amp; FGP'!B15/'Components UNIV HS &amp; FGP'!$B$25,3)</f>
        <v>7.0000000000000001E-3</v>
      </c>
      <c r="F15" s="6">
        <f>ROUND('Components UNIV HS &amp; FGP'!C15/'Components UNIV HS &amp; FGP'!$C$25,3)</f>
        <v>5.0000000000000001E-3</v>
      </c>
      <c r="G15" s="6">
        <f>ROUND('Components UNIV HS &amp; FGP'!D15/'Components UNIV HS &amp; FGP'!$D$25,3)</f>
        <v>0</v>
      </c>
      <c r="H15" s="6">
        <f>ROUND('Components UNIV HS &amp; FGP'!E15/'Components UNIV HS &amp; FGP'!$E$25,3)</f>
        <v>0</v>
      </c>
      <c r="I15" s="6">
        <f>ROUND('Components UNIV HS &amp; FGP'!F15/'Components UNIV HS &amp; FGP'!$F$25,3)</f>
        <v>0</v>
      </c>
      <c r="K15" s="6">
        <f>ROUND('Components UNIV HS &amp; FGP'!H15/'Components UNIV HS &amp; FGP'!H$25,3)</f>
        <v>5.0000000000000001E-3</v>
      </c>
      <c r="L15" s="6">
        <f>ROUND('Components UNIV HS &amp; FGP'!I15/'Components UNIV HS &amp; FGP'!I$25,3)</f>
        <v>5.0000000000000001E-3</v>
      </c>
      <c r="M15" s="6">
        <f>ROUND('Components UNIV HS &amp; FGP'!J15/'Components UNIV HS &amp; FGP'!J$25,3)</f>
        <v>0</v>
      </c>
      <c r="N15" s="6">
        <f>ROUND('Components UNIV HS &amp; FGP'!K15/'Components UNIV HS &amp; FGP'!K$25,3)</f>
        <v>0</v>
      </c>
      <c r="O15" s="6">
        <f>ROUND('Components UNIV HS &amp; FGP'!L15/'Components UNIV HS &amp; FGP'!L$25,3)</f>
        <v>0</v>
      </c>
      <c r="Q15" s="43" t="s">
        <v>128</v>
      </c>
      <c r="R15" s="6">
        <f>ROUND('Components UNIV HS &amp; FGP'!O15/'Components UNIV HS &amp; FGP'!O$25,3)</f>
        <v>1.2999999999999999E-2</v>
      </c>
      <c r="S15" s="6">
        <f>ROUND('Components UNIV HS &amp; FGP'!P15/'Components UNIV HS &amp; FGP'!P$25,3)</f>
        <v>0.01</v>
      </c>
      <c r="T15" s="6">
        <f>ROUND('Components UNIV HS &amp; FGP'!Q15/'Components UNIV HS &amp; FGP'!Q$25,3)</f>
        <v>1.0999999999999999E-2</v>
      </c>
      <c r="U15" s="6">
        <f>ROUND('Components UNIV HS &amp; FGP'!R15/'Components UNIV HS &amp; FGP'!R$25,3)</f>
        <v>8.0000000000000002E-3</v>
      </c>
    </row>
    <row r="16" spans="1:22">
      <c r="A16" s="52" t="s">
        <v>47</v>
      </c>
      <c r="B16" s="52" t="s">
        <v>157</v>
      </c>
      <c r="C16" t="s">
        <v>145</v>
      </c>
      <c r="D16" t="s">
        <v>146</v>
      </c>
      <c r="E16" s="6">
        <f>ROUND('Components UNIV HS &amp; FGP'!B16/'Components UNIV HS &amp; FGP'!$B$25,3)</f>
        <v>7.0000000000000001E-3</v>
      </c>
      <c r="F16" s="6">
        <f>ROUND('Components UNIV HS &amp; FGP'!C16/'Components UNIV HS &amp; FGP'!$C$25,3)</f>
        <v>5.0000000000000001E-3</v>
      </c>
      <c r="G16" s="6">
        <f>ROUND('Components UNIV HS &amp; FGP'!D16/'Components UNIV HS &amp; FGP'!$D$25,3)</f>
        <v>0</v>
      </c>
      <c r="H16" s="6">
        <f>ROUND('Components UNIV HS &amp; FGP'!E16/'Components UNIV HS &amp; FGP'!$E$25,3)</f>
        <v>0</v>
      </c>
      <c r="I16" s="6">
        <f>ROUND('Components UNIV HS &amp; FGP'!F16/'Components UNIV HS &amp; FGP'!$F$25,3)</f>
        <v>0</v>
      </c>
      <c r="K16" s="6">
        <f>ROUND('Components UNIV HS &amp; FGP'!H16/'Components UNIV HS &amp; FGP'!H$25,3)</f>
        <v>5.0000000000000001E-3</v>
      </c>
      <c r="L16" s="6">
        <f>ROUND('Components UNIV HS &amp; FGP'!I16/'Components UNIV HS &amp; FGP'!I$25,3)</f>
        <v>5.0000000000000001E-3</v>
      </c>
      <c r="M16" s="6">
        <f>ROUND('Components UNIV HS &amp; FGP'!J16/'Components UNIV HS &amp; FGP'!J$25,3)</f>
        <v>0</v>
      </c>
      <c r="N16" s="6">
        <f>ROUND('Components UNIV HS &amp; FGP'!K16/'Components UNIV HS &amp; FGP'!K$25,3)</f>
        <v>0</v>
      </c>
      <c r="O16" s="6">
        <f>ROUND('Components UNIV HS &amp; FGP'!L16/'Components UNIV HS &amp; FGP'!L$25,3)</f>
        <v>0</v>
      </c>
      <c r="Q16" s="43" t="s">
        <v>129</v>
      </c>
      <c r="R16" s="6">
        <f>ROUND('Components UNIV HS &amp; FGP'!O16/'Components UNIV HS &amp; FGP'!O$25,3)</f>
        <v>1.2999999999999999E-2</v>
      </c>
      <c r="S16" s="6">
        <f>ROUND('Components UNIV HS &amp; FGP'!P16/'Components UNIV HS &amp; FGP'!P$25,3)</f>
        <v>0.01</v>
      </c>
      <c r="T16" s="6">
        <f>ROUND('Components UNIV HS &amp; FGP'!Q16/'Components UNIV HS &amp; FGP'!Q$25,3)</f>
        <v>1.0999999999999999E-2</v>
      </c>
      <c r="U16" s="6">
        <f>ROUND('Components UNIV HS &amp; FGP'!R16/'Components UNIV HS &amp; FGP'!R$25,3)</f>
        <v>8.0000000000000002E-3</v>
      </c>
    </row>
    <row r="17" spans="1:21">
      <c r="A17" s="52" t="s">
        <v>48</v>
      </c>
      <c r="B17" s="53" t="s">
        <v>158</v>
      </c>
      <c r="C17" t="s">
        <v>145</v>
      </c>
      <c r="D17" t="s">
        <v>146</v>
      </c>
      <c r="E17" s="6">
        <f>ROUND('Components UNIV HS &amp; FGP'!B17/'Components UNIV HS &amp; FGP'!$B$25,3)</f>
        <v>2E-3</v>
      </c>
      <c r="F17" s="6">
        <f>ROUND('Components UNIV HS &amp; FGP'!C17/'Components UNIV HS &amp; FGP'!$C$25,3)</f>
        <v>1E-3</v>
      </c>
      <c r="G17" s="6">
        <f>ROUND('Components UNIV HS &amp; FGP'!D17/'Components UNIV HS &amp; FGP'!$D$25,3)</f>
        <v>3.0000000000000001E-3</v>
      </c>
      <c r="H17" s="6">
        <f>ROUND('Components UNIV HS &amp; FGP'!E17/'Components UNIV HS &amp; FGP'!$E$25,3)</f>
        <v>0</v>
      </c>
      <c r="I17" s="6">
        <f>ROUND('Components UNIV HS &amp; FGP'!F17/'Components UNIV HS &amp; FGP'!$F$25,3)</f>
        <v>0</v>
      </c>
      <c r="K17" s="6">
        <f>ROUND('Components UNIV HS &amp; FGP'!H17/'Components UNIV HS &amp; FGP'!H$25,3)</f>
        <v>1E-3</v>
      </c>
      <c r="L17" s="6">
        <f>ROUND('Components UNIV HS &amp; FGP'!I17/'Components UNIV HS &amp; FGP'!I$25,3)</f>
        <v>1E-3</v>
      </c>
      <c r="M17" s="6">
        <f>ROUND('Components UNIV HS &amp; FGP'!J17/'Components UNIV HS &amp; FGP'!J$25,3)</f>
        <v>3.0000000000000001E-3</v>
      </c>
      <c r="N17" s="6">
        <f>ROUND('Components UNIV HS &amp; FGP'!K17/'Components UNIV HS &amp; FGP'!K$25,3)</f>
        <v>0</v>
      </c>
      <c r="O17" s="6">
        <f>ROUND('Components UNIV HS &amp; FGP'!L17/'Components UNIV HS &amp; FGP'!L$25,3)</f>
        <v>0</v>
      </c>
      <c r="Q17" s="43" t="s">
        <v>130</v>
      </c>
      <c r="R17" s="6">
        <f>ROUND('Components UNIV HS &amp; FGP'!O17/'Components UNIV HS &amp; FGP'!O$25,3)</f>
        <v>3.0000000000000001E-3</v>
      </c>
      <c r="S17" s="6">
        <f>ROUND('Components UNIV HS &amp; FGP'!P17/'Components UNIV HS &amp; FGP'!P$25,3)</f>
        <v>3.0000000000000001E-3</v>
      </c>
      <c r="T17" s="6">
        <f>ROUND('Components UNIV HS &amp; FGP'!Q17/'Components UNIV HS &amp; FGP'!Q$25,3)</f>
        <v>3.0000000000000001E-3</v>
      </c>
      <c r="U17" s="6">
        <f>ROUND('Components UNIV HS &amp; FGP'!R17/'Components UNIV HS &amp; FGP'!R$25,3)</f>
        <v>2E-3</v>
      </c>
    </row>
    <row r="18" spans="1:21">
      <c r="A18" s="52" t="s">
        <v>159</v>
      </c>
      <c r="B18" s="53" t="s">
        <v>160</v>
      </c>
      <c r="C18" t="s">
        <v>145</v>
      </c>
      <c r="D18" t="s">
        <v>146</v>
      </c>
      <c r="E18" s="6">
        <f>ROUND('Components UNIV HS &amp; FGP'!B18/'Components UNIV HS &amp; FGP'!$B$25,3)</f>
        <v>3.0000000000000001E-3</v>
      </c>
      <c r="F18" s="6">
        <f>ROUND('Components UNIV HS &amp; FGP'!C18/'Components UNIV HS &amp; FGP'!$C$25,3)</f>
        <v>3.0000000000000001E-3</v>
      </c>
      <c r="G18" s="6">
        <f>ROUND('Components UNIV HS &amp; FGP'!D18/'Components UNIV HS &amp; FGP'!$D$25,3)</f>
        <v>6.0000000000000001E-3</v>
      </c>
      <c r="H18" s="6">
        <f>ROUND('Components UNIV HS &amp; FGP'!E18/'Components UNIV HS &amp; FGP'!$E$25,3)</f>
        <v>0.33300000000000002</v>
      </c>
      <c r="I18" s="6">
        <f>ROUND('Components UNIV HS &amp; FGP'!F18/'Components UNIV HS &amp; FGP'!$F$25,3)</f>
        <v>8.0000000000000002E-3</v>
      </c>
      <c r="K18" s="6">
        <f>ROUND('Components UNIV HS &amp; FGP'!H18/'Components UNIV HS &amp; FGP'!H$25,3)</f>
        <v>8.0000000000000002E-3</v>
      </c>
      <c r="L18" s="6">
        <f>ROUND('Components UNIV HS &amp; FGP'!I18/'Components UNIV HS &amp; FGP'!I$25,3)</f>
        <v>8.0000000000000002E-3</v>
      </c>
      <c r="M18" s="6">
        <f>ROUND('Components UNIV HS &amp; FGP'!J18/'Components UNIV HS &amp; FGP'!J$25,3)</f>
        <v>1.9E-2</v>
      </c>
      <c r="N18" s="6">
        <f>ROUND('Components UNIV HS &amp; FGP'!K18/'Components UNIV HS &amp; FGP'!K$25,3)</f>
        <v>0.6</v>
      </c>
      <c r="O18" s="6">
        <f>ROUND('Components UNIV HS &amp; FGP'!L18/'Components UNIV HS &amp; FGP'!L$25,3)</f>
        <v>2.1999999999999999E-2</v>
      </c>
      <c r="Q18" s="43" t="s">
        <v>131</v>
      </c>
      <c r="R18" s="6">
        <f>ROUND('Components UNIV HS &amp; FGP'!O18/'Components UNIV HS &amp; FGP'!O$25,3)</f>
        <v>3.0000000000000001E-3</v>
      </c>
      <c r="S18" s="6">
        <f>ROUND('Components UNIV HS &amp; FGP'!P18/'Components UNIV HS &amp; FGP'!P$25,3)</f>
        <v>3.0000000000000001E-3</v>
      </c>
      <c r="T18" s="6">
        <f>ROUND('Components UNIV HS &amp; FGP'!Q18/'Components UNIV HS &amp; FGP'!Q$25,3)</f>
        <v>3.0000000000000001E-3</v>
      </c>
      <c r="U18" s="6">
        <f>ROUND('Components UNIV HS &amp; FGP'!R18/'Components UNIV HS &amp; FGP'!R$25,3)</f>
        <v>2E-3</v>
      </c>
    </row>
    <row r="19" spans="1:21">
      <c r="A19" s="52" t="s">
        <v>57</v>
      </c>
      <c r="B19" s="56" t="s">
        <v>161</v>
      </c>
      <c r="C19" t="s">
        <v>145</v>
      </c>
      <c r="D19" t="s">
        <v>146</v>
      </c>
      <c r="E19" s="6">
        <f>ROUND('Components UNIV HS &amp; FGP'!B19/'Components UNIV HS &amp; FGP'!$B$25,3)</f>
        <v>0.01</v>
      </c>
      <c r="F19" s="6">
        <f>ROUND('Components UNIV HS &amp; FGP'!C19/'Components UNIV HS &amp; FGP'!$B$25,3)</f>
        <v>1.2999999999999999E-2</v>
      </c>
      <c r="G19" s="6">
        <f>ROUND('Components UNIV HS &amp; FGP'!D19/'Components UNIV HS &amp; FGP'!$B$25,3)</f>
        <v>0</v>
      </c>
      <c r="H19" s="6">
        <f>ROUND('Components UNIV HS &amp; FGP'!E19/'Components UNIV HS &amp; FGP'!$B$25,3)</f>
        <v>0</v>
      </c>
      <c r="I19" s="6">
        <f>ROUND('Components UNIV HS &amp; FGP'!F19/'Components UNIV HS &amp; FGP'!$B$25,3)</f>
        <v>0</v>
      </c>
      <c r="K19" s="6">
        <f>ROUND('Components UNIV HS &amp; FGP'!H19/'Components UNIV HS &amp; FGP'!$B$25,3)</f>
        <v>1.2999999999999999E-2</v>
      </c>
      <c r="L19" s="6">
        <f>ROUND('Components UNIV HS &amp; FGP'!I19/'Components UNIV HS &amp; FGP'!$B$25,3)</f>
        <v>1.2999999999999999E-2</v>
      </c>
      <c r="M19" s="6">
        <f>ROUND('Components UNIV HS &amp; FGP'!J19/'Components UNIV HS &amp; FGP'!$B$25,3)</f>
        <v>0</v>
      </c>
      <c r="N19" s="6">
        <f>ROUND('Components UNIV HS &amp; FGP'!K19/'Components UNIV HS &amp; FGP'!$B$25,3)</f>
        <v>0</v>
      </c>
      <c r="O19" s="6">
        <f>ROUND('Components UNIV HS &amp; FGP'!L19/'Components UNIV HS &amp; FGP'!$B$25,3)</f>
        <v>0</v>
      </c>
      <c r="Q19" s="43" t="s">
        <v>57</v>
      </c>
      <c r="R19" s="6">
        <f>ROUND('Components UNIV HS &amp; FGP'!O19/'Components UNIV HS &amp; FGP'!O$25,3)</f>
        <v>0</v>
      </c>
      <c r="S19" s="6">
        <f>ROUND('Components UNIV HS &amp; FGP'!P19/'Components UNIV HS &amp; FGP'!P$25,3)</f>
        <v>0</v>
      </c>
      <c r="T19" s="6">
        <f>ROUND('Components UNIV HS &amp; FGP'!Q19/'Components UNIV HS &amp; FGP'!Q$25,3)</f>
        <v>0</v>
      </c>
      <c r="U19" s="6">
        <f>ROUND('Components UNIV HS &amp; FGP'!R19/'Components UNIV HS &amp; FGP'!R$25,3)</f>
        <v>0</v>
      </c>
    </row>
    <row r="20" spans="1:21">
      <c r="A20" s="52" t="s">
        <v>58</v>
      </c>
      <c r="B20" s="53" t="s">
        <v>162</v>
      </c>
      <c r="C20" t="s">
        <v>145</v>
      </c>
      <c r="D20" t="s">
        <v>146</v>
      </c>
      <c r="E20" s="6">
        <f>ROUND('Components UNIV HS &amp; FGP'!B20/'Components UNIV HS &amp; FGP'!$B$25,3)</f>
        <v>2E-3</v>
      </c>
      <c r="F20" s="6">
        <f>ROUND('Components UNIV HS &amp; FGP'!C20/'Components UNIV HS &amp; FGP'!$C$25,3)</f>
        <v>4.0000000000000001E-3</v>
      </c>
      <c r="G20" s="6">
        <f>ROUND('Components UNIV HS &amp; FGP'!D20/'Components UNIV HS &amp; FGP'!$D$25,3)</f>
        <v>0</v>
      </c>
      <c r="H20" s="6">
        <f>ROUND('Components UNIV HS &amp; FGP'!E20/'Components UNIV HS &amp; FGP'!$E$25,3)</f>
        <v>0</v>
      </c>
      <c r="I20" s="6">
        <f>ROUND('Components UNIV HS &amp; FGP'!F20/'Components UNIV HS &amp; FGP'!$F$25,3)</f>
        <v>0</v>
      </c>
      <c r="K20" s="6">
        <f>ROUND('Components UNIV HS &amp; FGP'!H20/'Components UNIV HS &amp; FGP'!H$25,3)</f>
        <v>3.0000000000000001E-3</v>
      </c>
      <c r="L20" s="6">
        <f>ROUND('Components UNIV HS &amp; FGP'!I20/'Components UNIV HS &amp; FGP'!I$25,3)</f>
        <v>3.0000000000000001E-3</v>
      </c>
      <c r="M20" s="6">
        <f>ROUND('Components UNIV HS &amp; FGP'!J20/'Components UNIV HS &amp; FGP'!J$25,3)</f>
        <v>0</v>
      </c>
      <c r="N20" s="6">
        <f>ROUND('Components UNIV HS &amp; FGP'!K20/'Components UNIV HS &amp; FGP'!K$25,3)</f>
        <v>0</v>
      </c>
      <c r="O20" s="6">
        <f>ROUND('Components UNIV HS &amp; FGP'!L20/'Components UNIV HS &amp; FGP'!L$25,3)</f>
        <v>0</v>
      </c>
      <c r="Q20" s="43" t="s">
        <v>133</v>
      </c>
      <c r="R20" s="6">
        <f>ROUND('Components UNIV HS &amp; FGP'!O20/'Components UNIV HS &amp; FGP'!O$25,3)</f>
        <v>3.0000000000000001E-3</v>
      </c>
      <c r="S20" s="6">
        <f>ROUND('Components UNIV HS &amp; FGP'!P20/'Components UNIV HS &amp; FGP'!P$25,3)</f>
        <v>3.0000000000000001E-3</v>
      </c>
      <c r="T20" s="6">
        <f>ROUND('Components UNIV HS &amp; FGP'!Q20/'Components UNIV HS &amp; FGP'!Q$25,3)</f>
        <v>3.0000000000000001E-3</v>
      </c>
      <c r="U20" s="6">
        <f>ROUND('Components UNIV HS &amp; FGP'!R20/'Components UNIV HS &amp; FGP'!R$25,3)</f>
        <v>2E-3</v>
      </c>
    </row>
    <row r="21" spans="1:21">
      <c r="A21" s="52" t="s">
        <v>59</v>
      </c>
      <c r="B21" s="53" t="s">
        <v>163</v>
      </c>
      <c r="C21" t="s">
        <v>145</v>
      </c>
      <c r="D21" t="s">
        <v>146</v>
      </c>
      <c r="E21" s="6">
        <f>ROUND('Components UNIV HS &amp; FGP'!B21/'Components UNIV HS &amp; FGP'!$B$25,3)</f>
        <v>1.2999999999999999E-2</v>
      </c>
      <c r="F21" s="6">
        <f>ROUND('Components UNIV HS &amp; FGP'!C21/'Components UNIV HS &amp; FGP'!$C$25,3)</f>
        <v>1.4999999999999999E-2</v>
      </c>
      <c r="G21" s="6">
        <f>ROUND('Components UNIV HS &amp; FGP'!D21/'Components UNIV HS &amp; FGP'!$D$25,3)</f>
        <v>0</v>
      </c>
      <c r="H21" s="6">
        <f>ROUND('Components UNIV HS &amp; FGP'!E21/'Components UNIV HS &amp; FGP'!$E$25,3)</f>
        <v>0</v>
      </c>
      <c r="I21" s="6">
        <f>ROUND('Components UNIV HS &amp; FGP'!F21/'Components UNIV HS &amp; FGP'!$F$25,3)</f>
        <v>0</v>
      </c>
      <c r="K21" s="6">
        <f>ROUND('Components UNIV HS &amp; FGP'!H21/'Components UNIV HS &amp; FGP'!H$25,3)</f>
        <v>1.4999999999999999E-2</v>
      </c>
      <c r="L21" s="6">
        <f>ROUND('Components UNIV HS &amp; FGP'!I21/'Components UNIV HS &amp; FGP'!I$25,3)</f>
        <v>1.6E-2</v>
      </c>
      <c r="M21" s="6">
        <f>ROUND('Components UNIV HS &amp; FGP'!J21/'Components UNIV HS &amp; FGP'!J$25,3)</f>
        <v>0</v>
      </c>
      <c r="N21" s="6">
        <f>ROUND('Components UNIV HS &amp; FGP'!K21/'Components UNIV HS &amp; FGP'!K$25,3)</f>
        <v>0</v>
      </c>
      <c r="O21" s="6">
        <f>ROUND('Components UNIV HS &amp; FGP'!L21/'Components UNIV HS &amp; FGP'!L$25,3)</f>
        <v>0</v>
      </c>
      <c r="Q21" s="43" t="s">
        <v>134</v>
      </c>
      <c r="R21" s="6">
        <f>ROUND('Components UNIV HS &amp; FGP'!O21/'Components UNIV HS &amp; FGP'!O$25,3)</f>
        <v>7.0000000000000001E-3</v>
      </c>
      <c r="S21" s="6">
        <f>ROUND('Components UNIV HS &amp; FGP'!P21/'Components UNIV HS &amp; FGP'!P$25,3)</f>
        <v>5.0000000000000001E-3</v>
      </c>
      <c r="T21" s="6">
        <f>ROUND('Components UNIV HS &amp; FGP'!Q21/'Components UNIV HS &amp; FGP'!Q$25,3)</f>
        <v>5.0000000000000001E-3</v>
      </c>
      <c r="U21" s="6">
        <f>ROUND('Components UNIV HS &amp; FGP'!R21/'Components UNIV HS &amp; FGP'!R$25,3)</f>
        <v>4.0000000000000001E-3</v>
      </c>
    </row>
    <row r="22" spans="1:21">
      <c r="A22" s="52" t="s">
        <v>52</v>
      </c>
      <c r="B22" s="53" t="s">
        <v>164</v>
      </c>
      <c r="C22" t="s">
        <v>145</v>
      </c>
      <c r="D22" t="s">
        <v>146</v>
      </c>
      <c r="E22" s="6">
        <f>ROUND('Components UNIV HS &amp; FGP'!B22/'Components UNIV HS &amp; FGP'!$B$25,3)</f>
        <v>0</v>
      </c>
      <c r="F22" s="6">
        <f>ROUND('Components UNIV HS &amp; FGP'!C22/'Components UNIV HS &amp; FGP'!$C$25,3)</f>
        <v>0</v>
      </c>
      <c r="G22" s="6">
        <f>ROUND('Components UNIV HS &amp; FGP'!D22/'Components UNIV HS &amp; FGP'!$D$25,3)</f>
        <v>0</v>
      </c>
      <c r="H22" s="6">
        <f>ROUND('Components UNIV HS &amp; FGP'!E22/'Components UNIV HS &amp; FGP'!$E$25,3)</f>
        <v>0</v>
      </c>
      <c r="I22" s="6">
        <f>ROUND('Components UNIV HS &amp; FGP'!F22/'Components UNIV HS &amp; FGP'!$F$25,3)-0.003</f>
        <v>0.97699999999999998</v>
      </c>
      <c r="K22" s="6">
        <f>ROUND('Components UNIV HS &amp; FGP'!H22/'Components UNIV HS &amp; FGP'!H$25,3)</f>
        <v>0</v>
      </c>
      <c r="L22" s="6">
        <f>ROUND('Components UNIV HS &amp; FGP'!I22/'Components UNIV HS &amp; FGP'!I$25,3)</f>
        <v>0</v>
      </c>
      <c r="M22" s="6">
        <f>ROUND('Components UNIV HS &amp; FGP'!J22/'Components UNIV HS &amp; FGP'!J$25,3)</f>
        <v>0</v>
      </c>
      <c r="N22" s="6">
        <f>ROUND('Components UNIV HS &amp; FGP'!K22/'Components UNIV HS &amp; FGP'!K$25,3)</f>
        <v>0</v>
      </c>
      <c r="O22" s="6">
        <f>ROUND('Components UNIV HS &amp; FGP'!L22/'Components UNIV HS &amp; FGP'!L$25,3)</f>
        <v>0.96299999999999997</v>
      </c>
      <c r="Q22" s="43" t="s">
        <v>135</v>
      </c>
      <c r="R22" s="6">
        <f>ROUND('Components UNIV HS &amp; FGP'!O22/'Components UNIV HS &amp; FGP'!O$25,3)</f>
        <v>0</v>
      </c>
      <c r="S22" s="6">
        <f>ROUND('Components UNIV HS &amp; FGP'!P22/'Components UNIV HS &amp; FGP'!P$25,3)</f>
        <v>0</v>
      </c>
      <c r="T22" s="6">
        <f>ROUND('Components UNIV HS &amp; FGP'!Q22/'Components UNIV HS &amp; FGP'!Q$25,3)</f>
        <v>0</v>
      </c>
      <c r="U22" s="6">
        <f>ROUND('Components UNIV HS &amp; FGP'!R22/'Components UNIV HS &amp; FGP'!R$25,3)</f>
        <v>0</v>
      </c>
    </row>
    <row r="23" spans="1:21">
      <c r="A23" s="52" t="s">
        <v>60</v>
      </c>
      <c r="B23" s="53" t="s">
        <v>165</v>
      </c>
      <c r="C23" t="s">
        <v>145</v>
      </c>
      <c r="D23" t="s">
        <v>146</v>
      </c>
      <c r="E23" s="6">
        <f>ROUND('Components UNIV HS &amp; FGP'!B23/'Components UNIV HS &amp; FGP'!$B$25,3)</f>
        <v>0.02</v>
      </c>
      <c r="F23" s="6">
        <f>ROUND('Components UNIV HS &amp; FGP'!C23/'Components UNIV HS &amp; FGP'!$C$25,3)</f>
        <v>2.5999999999999999E-2</v>
      </c>
      <c r="G23" s="6">
        <f>ROUND('Components UNIV HS &amp; FGP'!D23/'Components UNIV HS &amp; FGP'!$D$25,3)</f>
        <v>0</v>
      </c>
      <c r="H23" s="6">
        <f>ROUND('Components UNIV HS &amp; FGP'!E23/'Components UNIV HS &amp; FGP'!$E$25,3)</f>
        <v>0</v>
      </c>
      <c r="I23" s="6">
        <f>ROUND('Components UNIV HS &amp; FGP'!F23/'Components UNIV HS &amp; FGP'!$F$25,3)</f>
        <v>0</v>
      </c>
      <c r="K23" s="6">
        <f>ROUND('Components UNIV HS &amp; FGP'!H23/'Components UNIV HS &amp; FGP'!H$25,3)</f>
        <v>2.5000000000000001E-2</v>
      </c>
      <c r="L23" s="6">
        <f>ROUND('Components UNIV HS &amp; FGP'!I23/'Components UNIV HS &amp; FGP'!I$25,3)</f>
        <v>2.4E-2</v>
      </c>
      <c r="M23" s="6">
        <f>ROUND('Components UNIV HS &amp; FGP'!J23/'Components UNIV HS &amp; FGP'!J$25,3)</f>
        <v>0</v>
      </c>
      <c r="N23" s="6">
        <f>ROUND('Components UNIV HS &amp; FGP'!K23/'Components UNIV HS &amp; FGP'!K$25,3)</f>
        <v>0</v>
      </c>
      <c r="O23" s="6">
        <f>ROUND('Components UNIV HS &amp; FGP'!L23/'Components UNIV HS &amp; FGP'!L$25,3)</f>
        <v>0</v>
      </c>
      <c r="Q23" s="43" t="s">
        <v>136</v>
      </c>
      <c r="R23" s="6">
        <f>ROUND('Components UNIV HS &amp; FGP'!O23/'Components UNIV HS &amp; FGP'!O$25,3)</f>
        <v>7.0000000000000001E-3</v>
      </c>
      <c r="S23" s="6">
        <f>ROUND('Components UNIV HS &amp; FGP'!P23/'Components UNIV HS &amp; FGP'!P$25,3)</f>
        <v>5.0000000000000001E-3</v>
      </c>
      <c r="T23" s="6">
        <f>ROUND('Components UNIV HS &amp; FGP'!Q23/'Components UNIV HS &amp; FGP'!Q$25,3)</f>
        <v>5.0000000000000001E-3</v>
      </c>
      <c r="U23" s="6">
        <f>ROUND('Components UNIV HS &amp; FGP'!R23/'Components UNIV HS &amp; FGP'!R$25,3)</f>
        <v>4.0000000000000001E-3</v>
      </c>
    </row>
    <row r="24" spans="1:21">
      <c r="A24" s="52" t="s">
        <v>137</v>
      </c>
      <c r="B24" s="53" t="s">
        <v>166</v>
      </c>
      <c r="C24" t="s">
        <v>145</v>
      </c>
      <c r="D24" t="s">
        <v>146</v>
      </c>
      <c r="E24" s="6">
        <f>ROUND('Components UNIV HS &amp; FGP'!B24/'Components UNIV HS &amp; FGP'!$B$25,3)</f>
        <v>0.01</v>
      </c>
      <c r="F24" s="6">
        <f>ROUND('Components UNIV HS &amp; FGP'!C24/'Components UNIV HS &amp; FGP'!$C$25,3)</f>
        <v>1.2999999999999999E-2</v>
      </c>
      <c r="G24" s="6">
        <f>ROUND('Components UNIV HS &amp; FGP'!D24/'Components UNIV HS &amp; FGP'!$D$25,3)</f>
        <v>0</v>
      </c>
      <c r="H24" s="6">
        <f>ROUND('Components UNIV HS &amp; FGP'!E24/'Components UNIV HS &amp; FGP'!$E$25,3)</f>
        <v>0</v>
      </c>
      <c r="I24" s="6">
        <f>ROUND('Components UNIV HS &amp; FGP'!F24/'Components UNIV HS &amp; FGP'!$F$25,3)</f>
        <v>0</v>
      </c>
      <c r="K24" s="6">
        <f>ROUND('Components UNIV HS &amp; FGP'!H24/'Components UNIV HS &amp; FGP'!H$25,3)</f>
        <v>0.01</v>
      </c>
      <c r="L24" s="6">
        <f>ROUND('Components UNIV HS &amp; FGP'!I24/'Components UNIV HS &amp; FGP'!I$25,3)</f>
        <v>1.0999999999999999E-2</v>
      </c>
      <c r="M24" s="6">
        <f>ROUND('Components UNIV HS &amp; FGP'!J24/'Components UNIV HS &amp; FGP'!J$25,3)</f>
        <v>0</v>
      </c>
      <c r="N24" s="6">
        <f>ROUND('Components UNIV HS &amp; FGP'!K24/'Components UNIV HS &amp; FGP'!K$25,3)</f>
        <v>0</v>
      </c>
      <c r="O24" s="6">
        <f>ROUND('Components UNIV HS &amp; FGP'!L24/'Components UNIV HS &amp; FGP'!L$25,3)</f>
        <v>0</v>
      </c>
      <c r="Q24" s="43" t="s">
        <v>137</v>
      </c>
      <c r="R24" s="6">
        <f>ROUND('Components UNIV HS &amp; FGP'!O24/'Components UNIV HS &amp; FGP'!O$25,3)</f>
        <v>7.0000000000000001E-3</v>
      </c>
      <c r="S24" s="6">
        <f>ROUND('Components UNIV HS &amp; FGP'!P24/'Components UNIV HS &amp; FGP'!P$25,3)</f>
        <v>5.0000000000000001E-3</v>
      </c>
      <c r="T24" s="6">
        <f>ROUND('Components UNIV HS &amp; FGP'!Q24/'Components UNIV HS &amp; FGP'!Q$25,3)</f>
        <v>5.0000000000000001E-3</v>
      </c>
      <c r="U24" s="6">
        <f>ROUND('Components UNIV HS &amp; FGP'!R24/'Components UNIV HS &amp; FGP'!R$25,3)</f>
        <v>4.0000000000000001E-3</v>
      </c>
    </row>
    <row r="25" spans="1:21">
      <c r="A25" s="57" t="s">
        <v>167</v>
      </c>
      <c r="B25" s="58"/>
      <c r="C25" s="58"/>
      <c r="D25" s="58"/>
      <c r="E25" s="59">
        <f>SUM(E5:E11,E14:E24)</f>
        <v>1.0002</v>
      </c>
      <c r="F25" s="59">
        <f>SUM(F5:F11,F14:F24)</f>
        <v>1.0004</v>
      </c>
      <c r="G25" s="59">
        <f>SUM(G5:G11,G14:G24)</f>
        <v>1.0004</v>
      </c>
      <c r="H25" s="59">
        <f>SUM(H5:H11,H14:H24)</f>
        <v>0.9996666666666667</v>
      </c>
      <c r="I25" s="59">
        <f>SUM(I5:I11,I14:I24)</f>
        <v>1</v>
      </c>
      <c r="K25" s="59">
        <f>SUM(K5:K11,K14:K24)</f>
        <v>0.99950000000000006</v>
      </c>
      <c r="L25" s="59">
        <f t="shared" ref="L25:O25" si="3">SUM(L5:L11,L14:L24)</f>
        <v>1.0003</v>
      </c>
      <c r="M25" s="59">
        <f t="shared" si="3"/>
        <v>1.0004499999999998</v>
      </c>
      <c r="N25" s="59">
        <f t="shared" si="3"/>
        <v>1</v>
      </c>
      <c r="O25" s="59">
        <f t="shared" si="3"/>
        <v>1</v>
      </c>
      <c r="R25" s="59">
        <f t="shared" ref="R25:U25" si="4">SUM(R5:R11,R14:R24)</f>
        <v>0.99600000000000011</v>
      </c>
      <c r="S25" s="59">
        <f t="shared" si="4"/>
        <v>0.996</v>
      </c>
      <c r="T25" s="59">
        <f t="shared" si="4"/>
        <v>0.998</v>
      </c>
      <c r="U25" s="59">
        <f t="shared" si="4"/>
        <v>0.99750000000000005</v>
      </c>
    </row>
    <row r="26" spans="1:21">
      <c r="A26" s="48"/>
      <c r="B26" s="48"/>
      <c r="C26" s="48"/>
      <c r="D26" s="48"/>
      <c r="E26" s="6"/>
      <c r="F26" s="6"/>
      <c r="G26" s="6"/>
      <c r="H26" s="6"/>
      <c r="I26" s="6"/>
      <c r="K26" s="6"/>
      <c r="L26" s="6"/>
      <c r="M26" s="6"/>
      <c r="N26" s="6"/>
      <c r="O26" s="6"/>
      <c r="R26" s="6"/>
      <c r="S26" s="6"/>
      <c r="T26" s="6"/>
      <c r="U26" s="6"/>
    </row>
    <row r="27" spans="1:21">
      <c r="A27" s="57" t="s">
        <v>168</v>
      </c>
      <c r="B27" s="58"/>
      <c r="C27" s="58"/>
      <c r="D27" s="58"/>
      <c r="E27" s="6">
        <v>1</v>
      </c>
      <c r="F27" s="6">
        <v>1</v>
      </c>
      <c r="G27" s="6">
        <v>1</v>
      </c>
      <c r="H27" s="6">
        <v>1</v>
      </c>
      <c r="I27" s="6">
        <v>1</v>
      </c>
      <c r="K27" s="6">
        <v>1</v>
      </c>
      <c r="L27" s="6">
        <v>1</v>
      </c>
      <c r="M27" s="6">
        <v>1</v>
      </c>
      <c r="N27" s="6">
        <v>1</v>
      </c>
      <c r="O27" s="6">
        <v>1</v>
      </c>
      <c r="R27" s="6">
        <v>1</v>
      </c>
      <c r="S27" s="6">
        <v>1</v>
      </c>
      <c r="T27" s="6">
        <v>1</v>
      </c>
      <c r="U27" s="6">
        <v>1</v>
      </c>
    </row>
    <row r="29" spans="1:21">
      <c r="E29" s="50">
        <f>E27-E25</f>
        <v>-1.9999999999997797E-4</v>
      </c>
      <c r="F29" s="50">
        <f t="shared" ref="F29:O29" si="5">F27-F25</f>
        <v>-3.9999999999995595E-4</v>
      </c>
      <c r="G29" s="50">
        <f t="shared" si="5"/>
        <v>-3.9999999999995595E-4</v>
      </c>
      <c r="H29" s="50">
        <f t="shared" si="5"/>
        <v>3.3333333333329662E-4</v>
      </c>
      <c r="I29" s="50">
        <f t="shared" si="5"/>
        <v>0</v>
      </c>
      <c r="J29" s="50"/>
      <c r="K29" s="50">
        <f t="shared" si="5"/>
        <v>4.9999999999994493E-4</v>
      </c>
      <c r="L29" s="50">
        <f t="shared" si="5"/>
        <v>-2.9999999999996696E-4</v>
      </c>
      <c r="M29" s="50">
        <f t="shared" si="5"/>
        <v>-4.4999999999983942E-4</v>
      </c>
      <c r="N29" s="50">
        <f t="shared" si="5"/>
        <v>0</v>
      </c>
      <c r="O29" s="50">
        <f t="shared" si="5"/>
        <v>0</v>
      </c>
      <c r="R29" s="50">
        <f t="shared" ref="R29:U29" si="6">R27-R25</f>
        <v>3.9999999999998925E-3</v>
      </c>
      <c r="S29" s="50">
        <f t="shared" si="6"/>
        <v>4.0000000000000036E-3</v>
      </c>
      <c r="T29" s="50">
        <f t="shared" si="6"/>
        <v>2.0000000000000018E-3</v>
      </c>
      <c r="U29" s="50">
        <f t="shared" si="6"/>
        <v>2.4999999999999467E-3</v>
      </c>
    </row>
    <row r="32" spans="1:21">
      <c r="H32" s="2"/>
    </row>
  </sheetData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517B0-6710-435C-A646-F12FADD24E39}">
  <dimension ref="A2:K29"/>
  <sheetViews>
    <sheetView workbookViewId="0">
      <selection activeCell="E30" sqref="E30"/>
    </sheetView>
  </sheetViews>
  <sheetFormatPr defaultRowHeight="12.75"/>
  <cols>
    <col min="1" max="1" width="23.140625" bestFit="1" customWidth="1"/>
    <col min="2" max="5" width="10.7109375" customWidth="1"/>
    <col min="6" max="6" width="3.5703125" customWidth="1"/>
    <col min="7" max="11" width="10.7109375" customWidth="1"/>
  </cols>
  <sheetData>
    <row r="2" spans="1:11">
      <c r="B2" s="40" t="s">
        <v>105</v>
      </c>
      <c r="C2" s="41"/>
      <c r="D2" s="41"/>
      <c r="E2" s="41"/>
      <c r="G2" s="40"/>
      <c r="H2" s="41"/>
      <c r="I2" s="41"/>
      <c r="J2" s="41"/>
      <c r="K2" s="41"/>
    </row>
    <row r="3" spans="1:11">
      <c r="B3" s="2" t="s">
        <v>9</v>
      </c>
      <c r="C3" s="2" t="s">
        <v>115</v>
      </c>
      <c r="D3" s="2" t="s">
        <v>12</v>
      </c>
      <c r="E3" s="2" t="s">
        <v>169</v>
      </c>
      <c r="G3" s="2" t="s">
        <v>105</v>
      </c>
      <c r="H3" s="2"/>
      <c r="I3" s="2"/>
      <c r="J3" s="2"/>
      <c r="K3" s="2"/>
    </row>
    <row r="4" spans="1:11">
      <c r="B4" s="2" t="s">
        <v>18</v>
      </c>
      <c r="C4" s="2" t="s">
        <v>20</v>
      </c>
      <c r="D4" s="2" t="s">
        <v>24</v>
      </c>
      <c r="E4" s="2" t="s">
        <v>26</v>
      </c>
      <c r="G4" s="2" t="s">
        <v>106</v>
      </c>
      <c r="H4" s="2"/>
      <c r="I4" s="2"/>
      <c r="J4" s="2"/>
      <c r="K4" s="2"/>
    </row>
    <row r="5" spans="1:11">
      <c r="A5" s="42" t="s">
        <v>42</v>
      </c>
      <c r="B5" s="6">
        <f>ROUND((fy27_summary_bnft_projection!D56/fy27_summary_bnft_projection!$D$75),3)</f>
        <v>0.14000000000000001</v>
      </c>
      <c r="C5" s="6">
        <v>0</v>
      </c>
      <c r="D5" s="6">
        <f>ROUND((fy27_summary_bnft_projection!G56/fy27_summary_bnft_projection!$G$75),3)</f>
        <v>0.14000000000000001</v>
      </c>
      <c r="E5" s="6">
        <f>ROUND((fy27_summary_bnft_projection!I56/fy27_summary_bnft_projection!$I$75),3)</f>
        <v>0</v>
      </c>
      <c r="G5" s="6">
        <f>D5</f>
        <v>0.14000000000000001</v>
      </c>
      <c r="H5" s="6" t="s">
        <v>170</v>
      </c>
      <c r="I5" s="6"/>
      <c r="J5" s="6"/>
      <c r="K5" s="6"/>
    </row>
    <row r="6" spans="1:11">
      <c r="A6" s="43" t="s">
        <v>44</v>
      </c>
      <c r="B6" s="6">
        <v>0</v>
      </c>
      <c r="C6" s="6">
        <f>ROUND((fy27_summary_bnft_projection!E57/fy27_summary_bnft_projection!$E$75),3)</f>
        <v>0.14000000000000001</v>
      </c>
      <c r="D6" s="6">
        <v>0</v>
      </c>
      <c r="E6" s="6">
        <v>0</v>
      </c>
      <c r="G6" s="6">
        <f t="shared" ref="G6:G22" si="0">D6</f>
        <v>0</v>
      </c>
      <c r="H6" s="6"/>
      <c r="I6" s="6"/>
      <c r="J6" s="6"/>
      <c r="K6" s="6"/>
    </row>
    <row r="7" spans="1:11">
      <c r="A7" s="43" t="s">
        <v>120</v>
      </c>
      <c r="B7" s="6">
        <f>ROUND((fy27_summary_bnft_projection!D58/fy27_summary_bnft_projection!$D$75),3)</f>
        <v>1.4999999999999999E-2</v>
      </c>
      <c r="C7" s="6">
        <f>ROUND((fy27_summary_bnft_projection!E58/fy27_summary_bnft_projection!$E$75),3)</f>
        <v>1.4999999999999999E-2</v>
      </c>
      <c r="D7" s="6">
        <f>ROUND((fy27_summary_bnft_projection!G58/fy27_summary_bnft_projection!$G$75),3)</f>
        <v>1.4999999999999999E-2</v>
      </c>
      <c r="E7" s="6">
        <v>0</v>
      </c>
      <c r="G7" s="6">
        <f t="shared" si="0"/>
        <v>1.4999999999999999E-2</v>
      </c>
      <c r="H7" s="6"/>
      <c r="I7" s="6"/>
      <c r="J7" s="6"/>
      <c r="K7" s="6"/>
    </row>
    <row r="8" spans="1:11">
      <c r="A8" s="60" t="s">
        <v>121</v>
      </c>
      <c r="B8" s="44">
        <f>ROUND(0.86*$B$13,3)+0.0005</f>
        <v>0.1145</v>
      </c>
      <c r="C8" s="44">
        <f>ROUND(0.86*$C$13,3)+0.0004</f>
        <v>0.1734</v>
      </c>
      <c r="D8" s="44">
        <v>0</v>
      </c>
      <c r="E8" s="44">
        <v>0</v>
      </c>
      <c r="F8" s="45"/>
      <c r="G8" s="44">
        <f t="shared" si="0"/>
        <v>0</v>
      </c>
      <c r="H8" s="6"/>
      <c r="I8" s="6"/>
      <c r="J8" s="6"/>
      <c r="K8" s="6"/>
    </row>
    <row r="9" spans="1:11">
      <c r="A9" s="60" t="s">
        <v>122</v>
      </c>
      <c r="B9" s="44">
        <f>ROUND(0.12*$B$13,3)</f>
        <v>1.6E-2</v>
      </c>
      <c r="C9" s="44">
        <f>ROUND(0.12*$C$13,3)</f>
        <v>2.4E-2</v>
      </c>
      <c r="D9" s="44">
        <v>0</v>
      </c>
      <c r="E9" s="44">
        <v>0</v>
      </c>
      <c r="F9" s="45"/>
      <c r="G9" s="44">
        <f t="shared" si="0"/>
        <v>0</v>
      </c>
      <c r="H9" s="6"/>
      <c r="I9" s="6"/>
      <c r="J9" s="6"/>
      <c r="K9" s="6"/>
    </row>
    <row r="10" spans="1:11">
      <c r="A10" s="60" t="s">
        <v>123</v>
      </c>
      <c r="B10" s="44">
        <f>ROUND(0.01*$B$13,3)</f>
        <v>1E-3</v>
      </c>
      <c r="C10" s="44">
        <f>ROUND(0.01*$C$13,3)</f>
        <v>2E-3</v>
      </c>
      <c r="D10" s="44">
        <v>0</v>
      </c>
      <c r="E10" s="44">
        <v>0</v>
      </c>
      <c r="F10" s="45"/>
      <c r="G10" s="44">
        <f t="shared" si="0"/>
        <v>0</v>
      </c>
      <c r="H10" s="6"/>
      <c r="I10" s="6"/>
      <c r="J10" s="6"/>
      <c r="K10" s="6"/>
    </row>
    <row r="11" spans="1:11">
      <c r="A11" s="60" t="s">
        <v>124</v>
      </c>
      <c r="B11" s="44">
        <f>ROUND(0.01*$B$13,3)</f>
        <v>1E-3</v>
      </c>
      <c r="C11" s="44">
        <f>ROUND(0.01*$C$13,3)</f>
        <v>2E-3</v>
      </c>
      <c r="D11" s="44">
        <v>0</v>
      </c>
      <c r="E11" s="44">
        <v>0</v>
      </c>
      <c r="F11" s="45"/>
      <c r="G11" s="44">
        <f t="shared" si="0"/>
        <v>0</v>
      </c>
      <c r="H11" s="6"/>
      <c r="I11" s="6"/>
      <c r="J11" s="6"/>
      <c r="K11" s="6"/>
    </row>
    <row r="12" spans="1:11">
      <c r="A12" s="60" t="s">
        <v>125</v>
      </c>
      <c r="B12" s="44">
        <f>SUM(B8:B11)</f>
        <v>0.13250000000000001</v>
      </c>
      <c r="C12" s="44">
        <f t="shared" ref="C12:E12" si="1">SUM(C8:C11)</f>
        <v>0.2014</v>
      </c>
      <c r="D12" s="44">
        <f t="shared" si="1"/>
        <v>0</v>
      </c>
      <c r="E12" s="44">
        <f t="shared" si="1"/>
        <v>0</v>
      </c>
      <c r="F12" s="45"/>
      <c r="G12" s="44">
        <f t="shared" si="0"/>
        <v>0</v>
      </c>
      <c r="H12" s="6"/>
      <c r="I12" s="6"/>
      <c r="J12" s="6"/>
      <c r="K12" s="6"/>
    </row>
    <row r="13" spans="1:11">
      <c r="A13" s="43" t="s">
        <v>126</v>
      </c>
      <c r="B13" s="6">
        <f>ROUND(((fy27_summary_bnft_projection!D66+fy27_summary_bnft_projection!D67)/fy27_summary_bnft_projection!$D$75),3)+0.015</f>
        <v>0.13300000000000001</v>
      </c>
      <c r="C13" s="6">
        <f>ROUND(((fy27_summary_bnft_projection!E66+fy27_summary_bnft_projection!E67)/fy27_summary_bnft_projection!$E$75),3)+0.008</f>
        <v>0.20100000000000001</v>
      </c>
      <c r="D13" s="6">
        <f>ROUND(((fy27_summary_bnft_projection!G66+fy27_summary_bnft_projection!G67)/fy27_summary_bnft_projection!$G$75),3)</f>
        <v>0</v>
      </c>
      <c r="E13" s="6">
        <v>0</v>
      </c>
      <c r="G13" s="6">
        <f t="shared" si="0"/>
        <v>0</v>
      </c>
      <c r="H13" s="6"/>
      <c r="I13" s="6"/>
      <c r="J13" s="6"/>
      <c r="K13" s="6"/>
    </row>
    <row r="14" spans="1:11">
      <c r="A14" s="43" t="s">
        <v>127</v>
      </c>
      <c r="B14" s="6">
        <f>ROUND((fy27_summary_bnft_projection!D64/fy27_summary_bnft_projection!$D$75),3)+0.005</f>
        <v>7.0000000000000001E-3</v>
      </c>
      <c r="C14" s="6">
        <f>ROUND((fy27_summary_bnft_projection!E64/fy27_summary_bnft_projection!$E$75),3)+0.005</f>
        <v>7.0000000000000001E-3</v>
      </c>
      <c r="D14" s="6">
        <f>ROUND((fy27_summary_bnft_projection!G64/fy27_summary_bnft_projection!$G$75),3)</f>
        <v>2E-3</v>
      </c>
      <c r="E14" s="6">
        <f>ROUND((fy27_summary_bnft_projection!I64/fy27_summary_bnft_projection!$I$75),3)</f>
        <v>3.0000000000000001E-3</v>
      </c>
      <c r="G14" s="6">
        <f t="shared" si="0"/>
        <v>2E-3</v>
      </c>
      <c r="H14" s="6"/>
      <c r="I14" s="6"/>
      <c r="J14" s="6"/>
      <c r="K14" s="6"/>
    </row>
    <row r="15" spans="1:11">
      <c r="A15" s="43" t="s">
        <v>128</v>
      </c>
      <c r="B15" s="6">
        <f>ROUND((fy27_summary_bnft_projection!D59/fy27_summary_bnft_projection!$D$75),3)</f>
        <v>2E-3</v>
      </c>
      <c r="C15" s="6">
        <f>ROUND((fy27_summary_bnft_projection!E59/fy27_summary_bnft_projection!$E$75),3)</f>
        <v>2E-3</v>
      </c>
      <c r="D15" s="6">
        <f>ROUND((fy27_summary_bnft_projection!G59/fy27_summary_bnft_projection!$G$75),3)</f>
        <v>0</v>
      </c>
      <c r="E15" s="6">
        <f>ROUND((fy27_summary_bnft_projection!I59/fy27_summary_bnft_projection!$I$75),3)</f>
        <v>0</v>
      </c>
      <c r="G15" s="6">
        <f t="shared" si="0"/>
        <v>0</v>
      </c>
      <c r="H15" s="6"/>
      <c r="I15" s="6"/>
      <c r="J15" s="6"/>
      <c r="K15" s="6"/>
    </row>
    <row r="16" spans="1:11">
      <c r="A16" s="43" t="s">
        <v>129</v>
      </c>
      <c r="B16" s="6">
        <f>ROUND((fy27_summary_bnft_projection!D60/fy27_summary_bnft_projection!$D$75),3)</f>
        <v>2E-3</v>
      </c>
      <c r="C16" s="6">
        <f>ROUND((fy27_summary_bnft_projection!E60/fy27_summary_bnft_projection!$E$75),3)</f>
        <v>2E-3</v>
      </c>
      <c r="D16" s="6">
        <f>ROUND((fy27_summary_bnft_projection!G60/fy27_summary_bnft_projection!$G$75),3)</f>
        <v>0</v>
      </c>
      <c r="E16" s="6">
        <f>ROUND((fy27_summary_bnft_projection!I60/fy27_summary_bnft_projection!$I$75),3)</f>
        <v>0</v>
      </c>
      <c r="G16" s="6">
        <f t="shared" si="0"/>
        <v>0</v>
      </c>
      <c r="H16" s="6"/>
      <c r="I16" s="6"/>
      <c r="J16" s="6"/>
      <c r="K16" s="6"/>
    </row>
    <row r="17" spans="1:11">
      <c r="A17" s="43" t="s">
        <v>130</v>
      </c>
      <c r="B17" s="6">
        <f>ROUND((fy27_summary_bnft_projection!D61/fy27_summary_bnft_projection!$D$75),3)+0.0005</f>
        <v>5.0000000000000001E-4</v>
      </c>
      <c r="C17" s="6">
        <f>ROUND((fy27_summary_bnft_projection!E61/fy27_summary_bnft_projection!$E$75),3)+0.0005</f>
        <v>5.0000000000000001E-4</v>
      </c>
      <c r="D17" s="6">
        <f>ROUND((fy27_summary_bnft_projection!G61/fy27_summary_bnft_projection!$G$75),3)+0.001</f>
        <v>1E-3</v>
      </c>
      <c r="E17" s="6">
        <f>ROUND((fy27_summary_bnft_projection!I61/fy27_summary_bnft_projection!$I$75),3)</f>
        <v>0</v>
      </c>
      <c r="G17" s="6">
        <f t="shared" si="0"/>
        <v>1E-3</v>
      </c>
      <c r="H17" s="6"/>
      <c r="I17" s="6"/>
      <c r="J17" s="6"/>
      <c r="K17" s="6"/>
    </row>
    <row r="18" spans="1:11">
      <c r="A18" s="43" t="s">
        <v>131</v>
      </c>
      <c r="B18" s="6">
        <f>ROUND((fy27_summary_bnft_projection!D62/fy27_summary_bnft_projection!$D$75),3)</f>
        <v>1E-3</v>
      </c>
      <c r="C18" s="6">
        <f>ROUND((fy27_summary_bnft_projection!E62/fy27_summary_bnft_projection!$E$75),3)</f>
        <v>1E-3</v>
      </c>
      <c r="D18" s="6">
        <f>ROUND((fy27_summary_bnft_projection!G62/fy27_summary_bnft_projection!$G$75),3)</f>
        <v>1E-3</v>
      </c>
      <c r="E18" s="6">
        <f>ROUND((fy27_summary_bnft_projection!I62/fy27_summary_bnft_projection!$I$75),3)</f>
        <v>1E-3</v>
      </c>
      <c r="G18" s="6">
        <f t="shared" si="0"/>
        <v>1E-3</v>
      </c>
      <c r="H18" s="6"/>
      <c r="I18" s="6"/>
      <c r="J18" s="6"/>
      <c r="K18" s="6"/>
    </row>
    <row r="19" spans="1:11">
      <c r="A19" s="43" t="s">
        <v>133</v>
      </c>
      <c r="B19" s="6">
        <f>ROUND((fy27_summary_bnft_projection!D68/fy27_summary_bnft_projection!$D$75),3)+0.0005</f>
        <v>5.0000000000000001E-4</v>
      </c>
      <c r="C19" s="6">
        <f>ROUND((fy27_summary_bnft_projection!E68/fy27_summary_bnft_projection!$E$75),3)</f>
        <v>1E-3</v>
      </c>
      <c r="D19" s="6">
        <v>0</v>
      </c>
      <c r="E19" s="6">
        <f>ROUND((fy27_summary_bnft_projection!I68/fy27_summary_bnft_projection!$I$75),3)</f>
        <v>0</v>
      </c>
      <c r="G19" s="6">
        <f t="shared" si="0"/>
        <v>0</v>
      </c>
      <c r="H19" s="6"/>
      <c r="I19" s="6"/>
      <c r="J19" s="6"/>
      <c r="K19" s="6"/>
    </row>
    <row r="20" spans="1:11">
      <c r="A20" s="43" t="s">
        <v>134</v>
      </c>
      <c r="B20" s="6">
        <f>ROUND((fy27_summary_bnft_projection!D69/fy27_summary_bnft_projection!$D$75),3)</f>
        <v>4.0000000000000001E-3</v>
      </c>
      <c r="C20" s="6">
        <f>ROUND((fy27_summary_bnft_projection!E69/fy27_summary_bnft_projection!$E$75),3)</f>
        <v>6.0000000000000001E-3</v>
      </c>
      <c r="D20" s="6">
        <v>0</v>
      </c>
      <c r="E20" s="6">
        <f>ROUND((fy27_summary_bnft_projection!I69/fy27_summary_bnft_projection!$I$75),3)</f>
        <v>0</v>
      </c>
      <c r="G20" s="6">
        <f t="shared" si="0"/>
        <v>0</v>
      </c>
      <c r="H20" s="6"/>
      <c r="I20" s="6"/>
      <c r="J20" s="6"/>
      <c r="K20" s="6"/>
    </row>
    <row r="21" spans="1:11">
      <c r="A21" s="43" t="s">
        <v>135</v>
      </c>
      <c r="B21" s="6">
        <v>0</v>
      </c>
      <c r="C21" s="6">
        <v>0</v>
      </c>
      <c r="D21" s="6">
        <v>0</v>
      </c>
      <c r="E21" s="6">
        <f>ROUND((fy27_summary_bnft_projection!I65/fy27_summary_bnft_projection!$I$75),3)+0.023</f>
        <v>0.14599999999999999</v>
      </c>
      <c r="G21" s="6">
        <f t="shared" si="0"/>
        <v>0</v>
      </c>
      <c r="H21" s="6"/>
      <c r="I21" s="6"/>
      <c r="J21" s="6"/>
      <c r="K21" s="6"/>
    </row>
    <row r="22" spans="1:11">
      <c r="A22" s="43" t="s">
        <v>136</v>
      </c>
      <c r="B22" s="6">
        <f>ROUND((fy27_summary_bnft_projection!D70/fy27_summary_bnft_projection!$D$75),3)</f>
        <v>6.0000000000000001E-3</v>
      </c>
      <c r="C22" s="6">
        <f>ROUND((fy27_summary_bnft_projection!E70/fy27_summary_bnft_projection!$E$75),3)</f>
        <v>0.01</v>
      </c>
      <c r="D22" s="6">
        <f>ROUND((fy27_summary_bnft_projection!G70/fy27_summary_bnft_projection!$G$75),3)</f>
        <v>0</v>
      </c>
      <c r="E22" s="6">
        <f>ROUND((fy27_summary_bnft_projection!I70/fy27_summary_bnft_projection!$I$75),3)</f>
        <v>0</v>
      </c>
      <c r="G22" s="6">
        <f t="shared" si="0"/>
        <v>0</v>
      </c>
      <c r="H22" s="6"/>
      <c r="I22" s="6"/>
      <c r="J22" s="6"/>
      <c r="K22" s="6"/>
    </row>
    <row r="23" spans="1:11">
      <c r="A23" s="47" t="s">
        <v>138</v>
      </c>
      <c r="B23" s="6">
        <f>'Rate Summary'!B18</f>
        <v>0.311</v>
      </c>
      <c r="C23" s="6">
        <f>'Rate Summary'!B19</f>
        <v>0.39400000000000002</v>
      </c>
      <c r="D23" s="6">
        <f>'Rate Summary'!B20</f>
        <v>0.159</v>
      </c>
      <c r="E23" s="6">
        <f>'Rate Summary'!B21</f>
        <v>0.15</v>
      </c>
      <c r="G23" s="6">
        <f>D23</f>
        <v>0.159</v>
      </c>
      <c r="H23" s="6"/>
      <c r="I23" s="6"/>
      <c r="J23" s="6"/>
      <c r="K23" s="6"/>
    </row>
    <row r="24" spans="1:11">
      <c r="A24" s="48"/>
      <c r="B24" s="6"/>
      <c r="C24" s="6"/>
      <c r="D24" s="6"/>
      <c r="E24" s="6"/>
      <c r="G24" s="6"/>
      <c r="H24" s="6"/>
      <c r="I24" s="6"/>
      <c r="J24" s="6"/>
      <c r="K24" s="6"/>
    </row>
    <row r="25" spans="1:11">
      <c r="A25" s="48" t="s">
        <v>171</v>
      </c>
      <c r="B25" s="6">
        <v>0</v>
      </c>
      <c r="C25" s="6">
        <v>8.0000000000000002E-3</v>
      </c>
      <c r="D25" s="6">
        <v>0</v>
      </c>
      <c r="E25" s="6">
        <v>0</v>
      </c>
      <c r="G25" s="6">
        <v>0</v>
      </c>
      <c r="H25" s="6"/>
      <c r="I25" s="6"/>
      <c r="J25" s="6"/>
      <c r="K25" s="6"/>
    </row>
    <row r="26" spans="1:11">
      <c r="A26" s="48"/>
      <c r="B26" s="6"/>
      <c r="C26" s="6"/>
      <c r="D26" s="6"/>
      <c r="E26" s="6"/>
      <c r="G26" s="6"/>
      <c r="H26" s="6"/>
      <c r="I26" s="6"/>
      <c r="J26" s="6"/>
      <c r="K26" s="6"/>
    </row>
    <row r="27" spans="1:11">
      <c r="A27" s="49" t="s">
        <v>139</v>
      </c>
      <c r="B27" s="6">
        <f>SUM(B5:B11,B14:B22,B25)</f>
        <v>0.31050000000000005</v>
      </c>
      <c r="C27" s="6">
        <f t="shared" ref="C27:G27" si="2">SUM(C5:C11,C14:C22,C25)</f>
        <v>0.39390000000000008</v>
      </c>
      <c r="D27" s="6">
        <f t="shared" si="2"/>
        <v>0.15900000000000003</v>
      </c>
      <c r="E27" s="6">
        <f t="shared" si="2"/>
        <v>0.15</v>
      </c>
      <c r="F27" s="6"/>
      <c r="G27" s="6">
        <f t="shared" si="2"/>
        <v>0.15900000000000003</v>
      </c>
      <c r="H27" s="6"/>
      <c r="I27" s="6"/>
      <c r="J27" s="6"/>
      <c r="K27" s="6"/>
    </row>
    <row r="29" spans="1:11">
      <c r="B29" s="50">
        <f>B23-B27</f>
        <v>4.9999999999994493E-4</v>
      </c>
      <c r="C29" s="50">
        <f t="shared" ref="C29:E29" si="3">C23-C27</f>
        <v>9.9999999999933475E-5</v>
      </c>
      <c r="D29" s="50">
        <f t="shared" si="3"/>
        <v>0</v>
      </c>
      <c r="E29" s="50">
        <f t="shared" si="3"/>
        <v>0</v>
      </c>
      <c r="G29" s="50">
        <f t="shared" ref="G29" si="4">G23-G27</f>
        <v>0</v>
      </c>
      <c r="H29" s="50"/>
      <c r="I29" s="50"/>
      <c r="J29" s="50"/>
      <c r="K29" s="50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C8D5E-FBE0-49EC-BC1E-D162E039D8BC}">
  <dimension ref="A3:K32"/>
  <sheetViews>
    <sheetView workbookViewId="0">
      <selection activeCell="A30" sqref="A30"/>
    </sheetView>
  </sheetViews>
  <sheetFormatPr defaultRowHeight="12.75"/>
  <cols>
    <col min="1" max="1" width="41.140625" style="52" bestFit="1" customWidth="1"/>
    <col min="2" max="2" width="11.140625" style="52" customWidth="1"/>
    <col min="3" max="3" width="26.7109375" style="52" bestFit="1" customWidth="1"/>
    <col min="4" max="4" width="41.140625" style="52" customWidth="1"/>
    <col min="5" max="8" width="10.7109375" customWidth="1"/>
    <col min="9" max="9" width="4.5703125" customWidth="1"/>
  </cols>
  <sheetData>
    <row r="3" spans="1:11">
      <c r="E3" s="40" t="s">
        <v>105</v>
      </c>
      <c r="F3" s="41"/>
      <c r="G3" s="41"/>
      <c r="H3" s="41"/>
    </row>
    <row r="4" spans="1:11">
      <c r="E4" s="2" t="s">
        <v>9</v>
      </c>
      <c r="F4" s="2" t="s">
        <v>115</v>
      </c>
      <c r="G4" s="2" t="s">
        <v>12</v>
      </c>
      <c r="H4" s="2" t="s">
        <v>169</v>
      </c>
    </row>
    <row r="5" spans="1:11">
      <c r="A5" s="51" t="s">
        <v>140</v>
      </c>
      <c r="B5" s="51" t="s">
        <v>141</v>
      </c>
      <c r="C5" s="51" t="s">
        <v>142</v>
      </c>
      <c r="D5" s="51" t="s">
        <v>143</v>
      </c>
      <c r="E5" s="2" t="s">
        <v>18</v>
      </c>
      <c r="F5" s="2" t="s">
        <v>20</v>
      </c>
      <c r="G5" s="2" t="s">
        <v>24</v>
      </c>
      <c r="H5" s="2" t="s">
        <v>26</v>
      </c>
      <c r="J5" t="s">
        <v>106</v>
      </c>
    </row>
    <row r="6" spans="1:11">
      <c r="A6" s="52" t="s">
        <v>42</v>
      </c>
      <c r="B6" s="52" t="s">
        <v>144</v>
      </c>
      <c r="C6" t="s">
        <v>145</v>
      </c>
      <c r="D6" t="s">
        <v>146</v>
      </c>
      <c r="E6" s="6">
        <f>ROUND('Components OSP'!B5/'Components OSP'!$B$23,3)</f>
        <v>0.45</v>
      </c>
      <c r="F6" s="6">
        <f>ROUND('Components OSP'!C5/'Components OSP'!$C$23,3)</f>
        <v>0</v>
      </c>
      <c r="G6" s="6">
        <f>ROUND('Components OSP'!D5/'Components OSP'!$D$23,3)</f>
        <v>0.88100000000000001</v>
      </c>
      <c r="H6" s="6">
        <f>ROUND('Components OSP'!E5/'Components OSP'!$E$23,3)</f>
        <v>0</v>
      </c>
      <c r="J6" s="6">
        <f>G6</f>
        <v>0.88100000000000001</v>
      </c>
      <c r="K6" t="s">
        <v>147</v>
      </c>
    </row>
    <row r="7" spans="1:11">
      <c r="A7" s="52" t="s">
        <v>44</v>
      </c>
      <c r="B7" s="52" t="s">
        <v>148</v>
      </c>
      <c r="C7" t="s">
        <v>145</v>
      </c>
      <c r="D7" t="s">
        <v>146</v>
      </c>
      <c r="E7" s="6">
        <f>ROUND('Components OSP'!B6/'Components OSP'!$B$23,3)</f>
        <v>0</v>
      </c>
      <c r="F7" s="6">
        <f>ROUND('Components OSP'!C6/'Components OSP'!$C$23,3)</f>
        <v>0.35499999999999998</v>
      </c>
      <c r="G7" s="6">
        <f>ROUND('Components OSP'!D6/'Components OSP'!$D$23,3)</f>
        <v>0</v>
      </c>
      <c r="H7" s="6">
        <f>ROUND('Components OSP'!E6/'Components OSP'!$E$23,3)</f>
        <v>0</v>
      </c>
      <c r="J7" s="6">
        <f t="shared" ref="J7:J29" si="0">G7</f>
        <v>0</v>
      </c>
    </row>
    <row r="8" spans="1:11">
      <c r="A8" s="52" t="s">
        <v>45</v>
      </c>
      <c r="B8" s="53" t="s">
        <v>149</v>
      </c>
      <c r="C8" t="s">
        <v>145</v>
      </c>
      <c r="D8" t="s">
        <v>146</v>
      </c>
      <c r="E8" s="6">
        <f>ROUND('Components OSP'!B7/'Components OSP'!$B$23,3)</f>
        <v>4.8000000000000001E-2</v>
      </c>
      <c r="F8" s="6">
        <f>ROUND('Components OSP'!C7/'Components OSP'!$C$23,3)</f>
        <v>3.7999999999999999E-2</v>
      </c>
      <c r="G8" s="6">
        <f>ROUND('Components OSP'!D7/'Components OSP'!$D$23,3)</f>
        <v>9.4E-2</v>
      </c>
      <c r="H8" s="6">
        <f>ROUND('Components OSP'!E7/'Components OSP'!$E$23,3)</f>
        <v>0</v>
      </c>
      <c r="J8" s="6">
        <f t="shared" si="0"/>
        <v>9.4E-2</v>
      </c>
    </row>
    <row r="9" spans="1:11">
      <c r="A9" s="54" t="s">
        <v>121</v>
      </c>
      <c r="B9" s="55" t="s">
        <v>150</v>
      </c>
      <c r="C9" s="55" t="s">
        <v>145</v>
      </c>
      <c r="D9" s="55" t="s">
        <v>146</v>
      </c>
      <c r="E9" s="44">
        <f>ROUND('Components OSP'!B8/'Components OSP'!$B$23,3)+0.003</f>
        <v>0.371</v>
      </c>
      <c r="F9" s="44">
        <f>ROUND('Components OSP'!C8/'Components OSP'!$C$23,3)</f>
        <v>0.44</v>
      </c>
      <c r="G9" s="44">
        <f>ROUND('Components OSP'!D8/'Components OSP'!$D$23,3)</f>
        <v>0</v>
      </c>
      <c r="H9" s="44">
        <f>ROUND('Components OSP'!E8/'Components OSP'!$E$23,3)</f>
        <v>0</v>
      </c>
      <c r="I9" s="45"/>
      <c r="J9" s="44">
        <f t="shared" si="0"/>
        <v>0</v>
      </c>
    </row>
    <row r="10" spans="1:11">
      <c r="A10" s="54" t="s">
        <v>122</v>
      </c>
      <c r="B10" s="55" t="s">
        <v>151</v>
      </c>
      <c r="C10" s="55" t="s">
        <v>145</v>
      </c>
      <c r="D10" s="55" t="s">
        <v>146</v>
      </c>
      <c r="E10" s="44">
        <f>ROUND('Components OSP'!B9/'Components OSP'!$B$23,3)</f>
        <v>5.0999999999999997E-2</v>
      </c>
      <c r="F10" s="44">
        <f>ROUND('Components OSP'!C9/'Components OSP'!$C$23,3)</f>
        <v>6.0999999999999999E-2</v>
      </c>
      <c r="G10" s="44">
        <f>ROUND('Components OSP'!D9/'Components OSP'!$D$23,3)</f>
        <v>0</v>
      </c>
      <c r="H10" s="44">
        <f>ROUND('Components OSP'!E9/'Components OSP'!$E$23,3)</f>
        <v>0</v>
      </c>
      <c r="I10" s="45"/>
      <c r="J10" s="44">
        <f t="shared" si="0"/>
        <v>0</v>
      </c>
    </row>
    <row r="11" spans="1:11">
      <c r="A11" s="54" t="s">
        <v>123</v>
      </c>
      <c r="B11" s="55" t="s">
        <v>152</v>
      </c>
      <c r="C11" s="55" t="s">
        <v>145</v>
      </c>
      <c r="D11" s="55" t="s">
        <v>146</v>
      </c>
      <c r="E11" s="44">
        <f>ROUND('Components OSP'!B10/'Components OSP'!$B$23,3)</f>
        <v>3.0000000000000001E-3</v>
      </c>
      <c r="F11" s="44">
        <f>ROUND('Components OSP'!C10/'Components OSP'!$C$23,3)</f>
        <v>5.0000000000000001E-3</v>
      </c>
      <c r="G11" s="44">
        <f>ROUND('Components OSP'!D10/'Components OSP'!$D$23,3)</f>
        <v>0</v>
      </c>
      <c r="H11" s="44">
        <f>ROUND('Components OSP'!E10/'Components OSP'!$E$23,3)</f>
        <v>0</v>
      </c>
      <c r="I11" s="45"/>
      <c r="J11" s="44">
        <f t="shared" si="0"/>
        <v>0</v>
      </c>
    </row>
    <row r="12" spans="1:11">
      <c r="A12" s="54" t="s">
        <v>124</v>
      </c>
      <c r="B12" s="55" t="s">
        <v>153</v>
      </c>
      <c r="C12" s="55" t="s">
        <v>145</v>
      </c>
      <c r="D12" s="55" t="s">
        <v>146</v>
      </c>
      <c r="E12" s="44">
        <f>ROUND('Components OSP'!B11/'Components OSP'!$B$23,3)</f>
        <v>3.0000000000000001E-3</v>
      </c>
      <c r="F12" s="44">
        <f>ROUND('Components OSP'!C11/'Components OSP'!$C$23,3)</f>
        <v>5.0000000000000001E-3</v>
      </c>
      <c r="G12" s="44">
        <f>ROUND('Components OSP'!D11/'Components OSP'!$D$23,3)</f>
        <v>0</v>
      </c>
      <c r="H12" s="44">
        <f>ROUND('Components OSP'!E11/'Components OSP'!$E$23,3)</f>
        <v>0</v>
      </c>
      <c r="I12" s="45"/>
      <c r="J12" s="44">
        <f t="shared" si="0"/>
        <v>0</v>
      </c>
    </row>
    <row r="13" spans="1:11">
      <c r="A13" s="54" t="s">
        <v>125</v>
      </c>
      <c r="B13" s="55"/>
      <c r="C13" s="55" t="s">
        <v>145</v>
      </c>
      <c r="D13" s="55" t="s">
        <v>146</v>
      </c>
      <c r="E13" s="44">
        <f>SUM(E9:E12)</f>
        <v>0.42799999999999999</v>
      </c>
      <c r="F13" s="44">
        <f t="shared" ref="F13:H13" si="1">SUM(F9:F12)</f>
        <v>0.51100000000000001</v>
      </c>
      <c r="G13" s="44">
        <f t="shared" si="1"/>
        <v>0</v>
      </c>
      <c r="H13" s="44">
        <f t="shared" si="1"/>
        <v>0</v>
      </c>
      <c r="I13" s="45"/>
      <c r="J13" s="44">
        <f t="shared" si="0"/>
        <v>0</v>
      </c>
    </row>
    <row r="14" spans="1:11">
      <c r="A14" s="54" t="s">
        <v>126</v>
      </c>
      <c r="B14" s="55"/>
      <c r="C14" s="55" t="s">
        <v>145</v>
      </c>
      <c r="D14" s="55" t="s">
        <v>146</v>
      </c>
      <c r="E14" s="44">
        <f>ROUND('Components OSP'!B13/'Components OSP'!$B$23,3)</f>
        <v>0.42799999999999999</v>
      </c>
      <c r="F14" s="44">
        <f>ROUND('Components OSP'!C13/'Components OSP'!$C$23,3)+0.001</f>
        <v>0.51100000000000001</v>
      </c>
      <c r="G14" s="44">
        <v>0</v>
      </c>
      <c r="H14" s="44">
        <v>0</v>
      </c>
      <c r="I14" s="45"/>
      <c r="J14" s="44">
        <f t="shared" si="0"/>
        <v>0</v>
      </c>
    </row>
    <row r="15" spans="1:11">
      <c r="A15" s="52" t="s">
        <v>154</v>
      </c>
      <c r="B15" s="52" t="s">
        <v>155</v>
      </c>
      <c r="C15" t="s">
        <v>145</v>
      </c>
      <c r="D15" t="s">
        <v>146</v>
      </c>
      <c r="E15" s="6">
        <f>ROUND('Components OSP'!B14/'Components OSP'!$B$23,3)</f>
        <v>2.3E-2</v>
      </c>
      <c r="F15" s="6">
        <f>ROUND('Components OSP'!C14/'Components OSP'!$C$23,3)+0.0005</f>
        <v>1.8499999999999999E-2</v>
      </c>
      <c r="G15" s="6">
        <f>ROUND('Components OSP'!D14/'Components OSP'!$D$23,3)+0.0004</f>
        <v>1.3399999999999999E-2</v>
      </c>
      <c r="H15" s="6">
        <f>ROUND('Components OSP'!E14/'Components OSP'!$E$23,3)</f>
        <v>0.02</v>
      </c>
      <c r="J15" s="6">
        <f t="shared" si="0"/>
        <v>1.3399999999999999E-2</v>
      </c>
    </row>
    <row r="16" spans="1:11">
      <c r="A16" s="52" t="s">
        <v>46</v>
      </c>
      <c r="B16" s="52" t="s">
        <v>156</v>
      </c>
      <c r="C16" t="s">
        <v>145</v>
      </c>
      <c r="D16" t="s">
        <v>146</v>
      </c>
      <c r="E16" s="6">
        <f>ROUND('Components OSP'!B15/'Components OSP'!$B$23,3)</f>
        <v>6.0000000000000001E-3</v>
      </c>
      <c r="F16" s="6">
        <f>ROUND('Components OSP'!C15/'Components OSP'!$C$23,3)</f>
        <v>5.0000000000000001E-3</v>
      </c>
      <c r="G16" s="6">
        <f>ROUND('Components OSP'!D15/'Components OSP'!$D$23,3)</f>
        <v>0</v>
      </c>
      <c r="H16" s="6">
        <f>ROUND('Components OSP'!E15/'Components OSP'!$E$23,3)</f>
        <v>0</v>
      </c>
      <c r="J16" s="6">
        <f t="shared" si="0"/>
        <v>0</v>
      </c>
    </row>
    <row r="17" spans="1:10">
      <c r="A17" s="52" t="s">
        <v>47</v>
      </c>
      <c r="B17" s="52" t="s">
        <v>157</v>
      </c>
      <c r="C17" t="s">
        <v>145</v>
      </c>
      <c r="D17" t="s">
        <v>146</v>
      </c>
      <c r="E17" s="6">
        <f>ROUND('Components OSP'!B16/'Components OSP'!$B$23,3)</f>
        <v>6.0000000000000001E-3</v>
      </c>
      <c r="F17" s="6">
        <f>ROUND('Components OSP'!C16/'Components OSP'!$C$23,3)</f>
        <v>5.0000000000000001E-3</v>
      </c>
      <c r="G17" s="6">
        <f>ROUND('Components OSP'!D16/'Components OSP'!$D$23,3)</f>
        <v>0</v>
      </c>
      <c r="H17" s="6">
        <f>ROUND('Components OSP'!E16/'Components OSP'!$E$23,3)</f>
        <v>0</v>
      </c>
      <c r="J17" s="6">
        <f t="shared" si="0"/>
        <v>0</v>
      </c>
    </row>
    <row r="18" spans="1:10">
      <c r="A18" s="52" t="s">
        <v>48</v>
      </c>
      <c r="B18" s="53" t="s">
        <v>158</v>
      </c>
      <c r="C18" t="s">
        <v>145</v>
      </c>
      <c r="D18" t="s">
        <v>146</v>
      </c>
      <c r="E18" s="6">
        <f>ROUND('Components OSP'!B17/'Components OSP'!$B$23,3)</f>
        <v>2E-3</v>
      </c>
      <c r="F18" s="6">
        <f>ROUND('Components OSP'!C17/'Components OSP'!$C$23,3)</f>
        <v>1E-3</v>
      </c>
      <c r="G18" s="6">
        <f>ROUND('Components OSP'!D17/'Components OSP'!$D$23,3)</f>
        <v>6.0000000000000001E-3</v>
      </c>
      <c r="H18" s="6">
        <f>ROUND('Components OSP'!E17/'Components OSP'!$E$23,3)</f>
        <v>0</v>
      </c>
      <c r="J18" s="6">
        <f t="shared" si="0"/>
        <v>6.0000000000000001E-3</v>
      </c>
    </row>
    <row r="19" spans="1:10">
      <c r="A19" s="52" t="s">
        <v>159</v>
      </c>
      <c r="B19" s="53" t="s">
        <v>160</v>
      </c>
      <c r="C19" t="s">
        <v>145</v>
      </c>
      <c r="D19" t="s">
        <v>146</v>
      </c>
      <c r="E19" s="6">
        <f>ROUND('Components OSP'!B18/'Components OSP'!$B$23,3)</f>
        <v>3.0000000000000001E-3</v>
      </c>
      <c r="F19" s="6">
        <f>ROUND('Components OSP'!C18/'Components OSP'!$C$23,3)</f>
        <v>3.0000000000000001E-3</v>
      </c>
      <c r="G19" s="6">
        <f>ROUND('Components OSP'!D18/'Components OSP'!$D$23,3)</f>
        <v>6.0000000000000001E-3</v>
      </c>
      <c r="H19" s="6">
        <f>ROUND('Components OSP'!E18/'Components OSP'!$E$23,3)</f>
        <v>7.0000000000000001E-3</v>
      </c>
      <c r="J19" s="6">
        <f t="shared" si="0"/>
        <v>6.0000000000000001E-3</v>
      </c>
    </row>
    <row r="20" spans="1:10">
      <c r="A20" s="52" t="s">
        <v>58</v>
      </c>
      <c r="B20" s="53" t="s">
        <v>162</v>
      </c>
      <c r="C20" t="s">
        <v>145</v>
      </c>
      <c r="D20" t="s">
        <v>146</v>
      </c>
      <c r="E20" s="6">
        <f>ROUND('Components OSP'!B19/'Components OSP'!$B$23,3)</f>
        <v>2E-3</v>
      </c>
      <c r="F20" s="6">
        <f>ROUND('Components OSP'!C19/'Components OSP'!$C$23,3)</f>
        <v>3.0000000000000001E-3</v>
      </c>
      <c r="G20" s="6">
        <f>ROUND('Components OSP'!D19/'Components OSP'!$D$23,3)</f>
        <v>0</v>
      </c>
      <c r="H20" s="6">
        <f>ROUND('Components OSP'!E19/'Components OSP'!$E$23,3)</f>
        <v>0</v>
      </c>
      <c r="J20" s="6">
        <f t="shared" si="0"/>
        <v>0</v>
      </c>
    </row>
    <row r="21" spans="1:10">
      <c r="A21" s="52" t="s">
        <v>59</v>
      </c>
      <c r="B21" s="53" t="s">
        <v>163</v>
      </c>
      <c r="C21" t="s">
        <v>145</v>
      </c>
      <c r="D21" t="s">
        <v>146</v>
      </c>
      <c r="E21" s="6">
        <f>ROUND('Components OSP'!B20/'Components OSP'!$B$23,3)</f>
        <v>1.2999999999999999E-2</v>
      </c>
      <c r="F21" s="6">
        <f>ROUND('Components OSP'!C20/'Components OSP'!$C$23,3)</f>
        <v>1.4999999999999999E-2</v>
      </c>
      <c r="G21" s="6">
        <f>ROUND('Components OSP'!D20/'Components OSP'!$D$23,3)</f>
        <v>0</v>
      </c>
      <c r="H21" s="6">
        <f>ROUND('Components OSP'!E20/'Components OSP'!$E$23,3)</f>
        <v>0</v>
      </c>
      <c r="J21" s="6">
        <f t="shared" si="0"/>
        <v>0</v>
      </c>
    </row>
    <row r="22" spans="1:10">
      <c r="A22" s="52" t="s">
        <v>52</v>
      </c>
      <c r="B22" s="53" t="s">
        <v>164</v>
      </c>
      <c r="C22" t="s">
        <v>145</v>
      </c>
      <c r="D22" t="s">
        <v>146</v>
      </c>
      <c r="E22" s="6">
        <f>ROUND('Components OSP'!B21/'Components OSP'!$B$23,3)</f>
        <v>0</v>
      </c>
      <c r="F22" s="6">
        <f>ROUND('Components OSP'!C21/'Components OSP'!$C$23,3)</f>
        <v>0</v>
      </c>
      <c r="G22" s="6">
        <f>ROUND('Components OSP'!D21/'Components OSP'!$D$23,3)</f>
        <v>0</v>
      </c>
      <c r="H22" s="6">
        <f>ROUND('Components OSP'!E21/'Components OSP'!$E$23,3)</f>
        <v>0.97299999999999998</v>
      </c>
      <c r="J22" s="6">
        <f t="shared" si="0"/>
        <v>0</v>
      </c>
    </row>
    <row r="23" spans="1:10">
      <c r="A23" s="52" t="s">
        <v>60</v>
      </c>
      <c r="B23" s="53" t="s">
        <v>165</v>
      </c>
      <c r="C23" t="s">
        <v>145</v>
      </c>
      <c r="D23" t="s">
        <v>146</v>
      </c>
      <c r="E23" s="6">
        <f>ROUND('Components OSP'!B22/'Components OSP'!$B$23,3)</f>
        <v>1.9E-2</v>
      </c>
      <c r="F23" s="6">
        <f>ROUND('Components OSP'!C22/'Components OSP'!$C$23,3)</f>
        <v>2.5000000000000001E-2</v>
      </c>
      <c r="G23" s="6">
        <f>ROUND('Components OSP'!D22/'Components OSP'!$D$23,3)</f>
        <v>0</v>
      </c>
      <c r="H23" s="6">
        <f>ROUND('Components OSP'!E22/'Components OSP'!$E$23,3)</f>
        <v>0</v>
      </c>
      <c r="J23" s="6">
        <f t="shared" si="0"/>
        <v>0</v>
      </c>
    </row>
    <row r="24" spans="1:10">
      <c r="B24" s="53"/>
      <c r="E24" s="6"/>
      <c r="F24" s="6"/>
      <c r="G24" s="6"/>
      <c r="H24" s="6"/>
      <c r="J24" s="6"/>
    </row>
    <row r="25" spans="1:10">
      <c r="A25" s="52" t="s">
        <v>172</v>
      </c>
      <c r="B25" s="53"/>
      <c r="E25" s="6">
        <f>SUM(E6:E12,E15:E23)</f>
        <v>1</v>
      </c>
      <c r="F25" s="6">
        <f t="shared" ref="F25:H25" si="2">SUM(F6:F12,F15:F23)</f>
        <v>0.97949999999999993</v>
      </c>
      <c r="G25" s="6">
        <f t="shared" si="2"/>
        <v>1.0004</v>
      </c>
      <c r="H25" s="6">
        <f t="shared" si="2"/>
        <v>1</v>
      </c>
      <c r="J25" s="6">
        <f t="shared" si="0"/>
        <v>1.0004</v>
      </c>
    </row>
    <row r="26" spans="1:10">
      <c r="E26" s="6"/>
      <c r="F26" s="6"/>
      <c r="G26" s="6"/>
      <c r="H26" s="6"/>
      <c r="J26" s="6"/>
    </row>
    <row r="27" spans="1:10">
      <c r="A27" s="52" t="s">
        <v>173</v>
      </c>
      <c r="B27" s="52" t="s">
        <v>174</v>
      </c>
      <c r="C27" t="s">
        <v>145</v>
      </c>
      <c r="D27" t="s">
        <v>175</v>
      </c>
      <c r="E27" s="6">
        <v>0</v>
      </c>
      <c r="F27" s="6">
        <f>ROUND('Components OSP'!C25/'Components OSP'!$C$23,3)</f>
        <v>0.02</v>
      </c>
      <c r="G27" s="6">
        <v>0</v>
      </c>
      <c r="H27" s="6">
        <v>0</v>
      </c>
      <c r="J27" s="6">
        <f t="shared" si="0"/>
        <v>0</v>
      </c>
    </row>
    <row r="28" spans="1:10">
      <c r="E28" s="6"/>
      <c r="F28" s="6"/>
      <c r="G28" s="6"/>
      <c r="H28" s="6"/>
      <c r="J28" s="6"/>
    </row>
    <row r="29" spans="1:10">
      <c r="A29" s="52" t="s">
        <v>176</v>
      </c>
      <c r="E29" s="50">
        <f>E27+E25</f>
        <v>1</v>
      </c>
      <c r="F29" s="50">
        <f t="shared" ref="F29:H29" si="3">F27+F25</f>
        <v>0.99949999999999994</v>
      </c>
      <c r="G29" s="50">
        <f t="shared" si="3"/>
        <v>1.0004</v>
      </c>
      <c r="H29" s="50">
        <f t="shared" si="3"/>
        <v>1</v>
      </c>
      <c r="J29" s="50">
        <f t="shared" si="0"/>
        <v>1.0004</v>
      </c>
    </row>
    <row r="30" spans="1:10">
      <c r="E30" s="50"/>
      <c r="F30" s="50"/>
      <c r="G30" s="50"/>
      <c r="H30" s="50"/>
    </row>
    <row r="32" spans="1:10">
      <c r="E32" s="6"/>
      <c r="F32" s="6"/>
      <c r="G32" s="6"/>
      <c r="H32" s="6"/>
    </row>
  </sheetData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18A3D-3C7B-45B0-8B04-169B6C61970E}">
  <sheetPr>
    <pageSetUpPr fitToPage="1"/>
  </sheetPr>
  <dimension ref="A1:X106"/>
  <sheetViews>
    <sheetView zoomScale="90" workbookViewId="0">
      <pane xSplit="3" ySplit="12" topLeftCell="D13" activePane="bottomRight" state="frozen"/>
      <selection pane="topRight" activeCell="D1" sqref="D1"/>
      <selection pane="bottomLeft" activeCell="A10" sqref="A10"/>
      <selection pane="bottomRight"/>
    </sheetView>
  </sheetViews>
  <sheetFormatPr defaultRowHeight="12.75"/>
  <cols>
    <col min="1" max="1" width="32.5703125" customWidth="1"/>
    <col min="2" max="2" width="13" customWidth="1"/>
    <col min="3" max="3" width="24.42578125" customWidth="1"/>
    <col min="4" max="4" width="15.7109375" customWidth="1"/>
    <col min="5" max="5" width="13.28515625" customWidth="1"/>
    <col min="6" max="7" width="15.5703125" customWidth="1"/>
    <col min="8" max="8" width="15.28515625" customWidth="1"/>
    <col min="9" max="9" width="15" customWidth="1"/>
    <col min="10" max="14" width="13.28515625" customWidth="1"/>
    <col min="15" max="15" width="16.28515625" customWidth="1"/>
    <col min="16" max="17" width="13.28515625" customWidth="1"/>
    <col min="18" max="18" width="15" customWidth="1"/>
    <col min="20" max="20" width="17" customWidth="1"/>
    <col min="22" max="22" width="18.42578125" customWidth="1"/>
    <col min="23" max="23" width="14.5703125" customWidth="1"/>
  </cols>
  <sheetData>
    <row r="1" spans="1:23">
      <c r="A1" s="1" t="s">
        <v>0</v>
      </c>
    </row>
    <row r="2" spans="1:23">
      <c r="A2" s="1" t="s">
        <v>1</v>
      </c>
    </row>
    <row r="3" spans="1:23">
      <c r="A3" s="1" t="s">
        <v>2</v>
      </c>
    </row>
    <row r="4" spans="1:23">
      <c r="A4" s="1"/>
      <c r="C4" s="2" t="s">
        <v>3</v>
      </c>
      <c r="D4" s="3">
        <f t="shared" ref="D4:H4" si="0">D13/D15</f>
        <v>136911.63619331774</v>
      </c>
      <c r="E4" s="3">
        <f t="shared" si="0"/>
        <v>80888.802038234382</v>
      </c>
      <c r="F4" s="3">
        <f t="shared" si="0"/>
        <v>83250.11001554651</v>
      </c>
      <c r="G4" s="3">
        <f t="shared" si="0"/>
        <v>87094.503403449358</v>
      </c>
      <c r="H4" s="3">
        <f t="shared" si="0"/>
        <v>693020.93021387502</v>
      </c>
      <c r="I4" s="3"/>
      <c r="J4" s="3"/>
      <c r="O4" s="4" t="s">
        <v>4</v>
      </c>
    </row>
    <row r="5" spans="1:23">
      <c r="A5" s="1"/>
      <c r="C5" s="2" t="s">
        <v>5</v>
      </c>
      <c r="D5" s="3">
        <v>134254.11751148131</v>
      </c>
      <c r="E5" s="3">
        <v>80187.962879024592</v>
      </c>
      <c r="F5" s="3">
        <v>80034.045528180388</v>
      </c>
      <c r="G5" s="3">
        <v>84478.300547801395</v>
      </c>
      <c r="H5" s="3">
        <v>657822.8802805309</v>
      </c>
      <c r="I5" s="3"/>
      <c r="J5" s="3"/>
      <c r="O5" s="4" t="s">
        <v>6</v>
      </c>
      <c r="W5" s="5">
        <f>386/470</f>
        <v>0.82127659574468082</v>
      </c>
    </row>
    <row r="6" spans="1:23">
      <c r="A6" s="1"/>
      <c r="C6" t="s">
        <v>7</v>
      </c>
      <c r="D6" s="6">
        <f t="shared" ref="D6:H6" si="1">(D4-D5)/D5</f>
        <v>1.9794690331260505E-2</v>
      </c>
      <c r="E6" s="6">
        <f t="shared" si="1"/>
        <v>8.7399546521353851E-3</v>
      </c>
      <c r="F6" s="6">
        <f t="shared" si="1"/>
        <v>4.0183705148751102E-2</v>
      </c>
      <c r="G6" s="6">
        <f t="shared" si="1"/>
        <v>3.0968933308117456E-2</v>
      </c>
      <c r="H6" s="6">
        <f t="shared" si="1"/>
        <v>5.3506880025720287E-2</v>
      </c>
      <c r="I6" s="6"/>
      <c r="J6" s="6"/>
      <c r="O6" s="4" t="s">
        <v>8</v>
      </c>
    </row>
    <row r="8" spans="1:23">
      <c r="D8" s="94" t="s">
        <v>9</v>
      </c>
      <c r="E8" s="95"/>
      <c r="F8" s="94" t="s">
        <v>10</v>
      </c>
      <c r="G8" s="96"/>
      <c r="H8" s="95"/>
      <c r="I8" s="94" t="s">
        <v>11</v>
      </c>
      <c r="J8" s="95"/>
      <c r="K8" s="94" t="s">
        <v>12</v>
      </c>
      <c r="L8" s="95"/>
      <c r="M8" s="94" t="s">
        <v>13</v>
      </c>
      <c r="N8" s="95"/>
      <c r="O8" s="94" t="s">
        <v>4</v>
      </c>
      <c r="P8" s="95"/>
      <c r="Q8" s="94" t="s">
        <v>14</v>
      </c>
      <c r="R8" s="95"/>
      <c r="T8" s="7" t="s">
        <v>15</v>
      </c>
    </row>
    <row r="9" spans="1:23">
      <c r="H9" s="8"/>
    </row>
    <row r="10" spans="1:23">
      <c r="B10" s="9" t="s">
        <v>16</v>
      </c>
      <c r="C10" s="9" t="s">
        <v>17</v>
      </c>
      <c r="D10" s="9" t="s">
        <v>18</v>
      </c>
      <c r="E10" s="9" t="s">
        <v>19</v>
      </c>
      <c r="F10" s="9" t="s">
        <v>20</v>
      </c>
      <c r="G10" s="9" t="s">
        <v>21</v>
      </c>
      <c r="H10" s="10" t="s">
        <v>9</v>
      </c>
      <c r="I10" s="9" t="s">
        <v>22</v>
      </c>
      <c r="J10" s="9" t="s">
        <v>23</v>
      </c>
      <c r="K10" s="9" t="s">
        <v>24</v>
      </c>
      <c r="L10" s="9" t="s">
        <v>25</v>
      </c>
      <c r="M10" s="9" t="s">
        <v>26</v>
      </c>
      <c r="N10" s="9" t="s">
        <v>27</v>
      </c>
      <c r="O10" s="9" t="s">
        <v>28</v>
      </c>
      <c r="P10" s="9" t="s">
        <v>29</v>
      </c>
      <c r="Q10" s="9" t="s">
        <v>30</v>
      </c>
      <c r="R10" s="9" t="s">
        <v>31</v>
      </c>
    </row>
    <row r="11" spans="1:23">
      <c r="B11" s="11" t="s">
        <v>32</v>
      </c>
      <c r="C11" s="11" t="s">
        <v>33</v>
      </c>
      <c r="D11" s="12" t="s">
        <v>34</v>
      </c>
      <c r="E11" s="11" t="s">
        <v>35</v>
      </c>
      <c r="F11" s="11" t="s">
        <v>36</v>
      </c>
      <c r="G11" s="11" t="s">
        <v>35</v>
      </c>
      <c r="H11" s="13" t="s">
        <v>37</v>
      </c>
      <c r="I11" s="11" t="s">
        <v>36</v>
      </c>
      <c r="J11" s="11" t="s">
        <v>35</v>
      </c>
      <c r="K11" s="11" t="s">
        <v>36</v>
      </c>
      <c r="L11" s="11" t="s">
        <v>35</v>
      </c>
      <c r="M11" s="11" t="s">
        <v>36</v>
      </c>
      <c r="N11" s="11" t="s">
        <v>35</v>
      </c>
      <c r="O11" s="11" t="s">
        <v>36</v>
      </c>
      <c r="P11" s="11" t="s">
        <v>35</v>
      </c>
      <c r="Q11" s="11" t="s">
        <v>36</v>
      </c>
      <c r="R11" s="11" t="s">
        <v>35</v>
      </c>
    </row>
    <row r="13" spans="1:23">
      <c r="A13" t="s">
        <v>38</v>
      </c>
      <c r="D13" s="3">
        <v>684256975.36696327</v>
      </c>
      <c r="E13" s="3">
        <v>72201344.699328005</v>
      </c>
      <c r="F13" s="3">
        <v>1202006713.4594684</v>
      </c>
      <c r="G13" s="3">
        <v>1263575764.8275838</v>
      </c>
      <c r="H13" s="3">
        <v>532586584.86936295</v>
      </c>
      <c r="I13" s="3">
        <v>0</v>
      </c>
      <c r="J13" s="3">
        <v>0</v>
      </c>
      <c r="K13" s="3">
        <v>174667914.80275503</v>
      </c>
      <c r="L13" s="3">
        <v>247594182.21075204</v>
      </c>
      <c r="M13" s="3">
        <v>67357911.937416002</v>
      </c>
      <c r="N13" s="3">
        <v>5650719.2938010013</v>
      </c>
      <c r="O13" s="3">
        <f>0</f>
        <v>0</v>
      </c>
      <c r="P13" s="3" t="e">
        <v>#REF!</v>
      </c>
      <c r="Q13" s="3">
        <v>162646547.714059</v>
      </c>
      <c r="R13" s="3">
        <v>473603.56190199999</v>
      </c>
      <c r="S13" s="3"/>
      <c r="T13" s="3" t="e">
        <f>SUM(D13:S13)</f>
        <v>#REF!</v>
      </c>
    </row>
    <row r="15" spans="1:23">
      <c r="A15" s="2" t="s">
        <v>39</v>
      </c>
      <c r="D15" s="14">
        <v>4997.7999999999993</v>
      </c>
      <c r="E15" s="14">
        <v>892.6</v>
      </c>
      <c r="F15" s="14">
        <v>14438.5</v>
      </c>
      <c r="G15" s="14">
        <v>14508.100000000002</v>
      </c>
      <c r="H15" s="14">
        <v>768.5</v>
      </c>
      <c r="I15" s="14">
        <v>0</v>
      </c>
      <c r="J15" s="14">
        <v>0</v>
      </c>
      <c r="O15" s="14">
        <f>0</f>
        <v>0</v>
      </c>
    </row>
    <row r="16" spans="1:23">
      <c r="V16" t="s">
        <v>40</v>
      </c>
      <c r="W16" s="9" t="s">
        <v>41</v>
      </c>
    </row>
    <row r="18" spans="1:24">
      <c r="A18" t="s">
        <v>42</v>
      </c>
      <c r="B18" s="9" t="s">
        <v>43</v>
      </c>
      <c r="C18" s="15">
        <v>0.13950000000000001</v>
      </c>
      <c r="D18" s="3">
        <f>D13*C18</f>
        <v>95453848.063691378</v>
      </c>
      <c r="E18" s="3">
        <f>E13*C18</f>
        <v>10072087.585556258</v>
      </c>
      <c r="F18" s="3"/>
      <c r="G18" s="3"/>
      <c r="H18" s="3"/>
      <c r="I18" s="3"/>
      <c r="J18" s="3"/>
      <c r="K18" s="3">
        <f>K13*C18</f>
        <v>24366174.11498433</v>
      </c>
      <c r="L18" s="3">
        <f>L13*C18</f>
        <v>34539388.418399915</v>
      </c>
      <c r="M18" s="3"/>
      <c r="N18" s="3"/>
      <c r="O18" s="3"/>
      <c r="P18" s="3"/>
      <c r="Q18" s="3"/>
      <c r="R18" s="3"/>
      <c r="S18" s="3"/>
      <c r="T18" s="16">
        <f>SUM(D18:S18)</f>
        <v>164431498.18263188</v>
      </c>
      <c r="V18" s="3">
        <v>168081356.82124799</v>
      </c>
      <c r="W18" s="16">
        <f>T18-V18</f>
        <v>-3649858.6386161149</v>
      </c>
    </row>
    <row r="19" spans="1:24">
      <c r="A19" t="s">
        <v>44</v>
      </c>
      <c r="B19" s="9" t="s">
        <v>43</v>
      </c>
      <c r="C19" s="15">
        <v>0.13950000000000001</v>
      </c>
      <c r="D19" s="3"/>
      <c r="E19" s="3"/>
      <c r="F19" s="3">
        <f>F13*C19</f>
        <v>167679936.52759585</v>
      </c>
      <c r="G19" s="3">
        <f>G13*C19</f>
        <v>176268819.19344795</v>
      </c>
      <c r="H19" s="3">
        <f>H$13*$C19</f>
        <v>74295828.589276135</v>
      </c>
      <c r="I19" s="3">
        <f>I13*C19</f>
        <v>0</v>
      </c>
      <c r="J19" s="3">
        <f>J13*C19</f>
        <v>0</v>
      </c>
      <c r="K19" s="3"/>
      <c r="L19" s="3"/>
      <c r="M19" s="3"/>
      <c r="N19" s="3"/>
      <c r="O19" s="3"/>
      <c r="P19" s="3"/>
      <c r="Q19" s="3"/>
      <c r="R19" s="3"/>
      <c r="S19" s="3"/>
      <c r="T19" s="16">
        <f>SUM(D19:S19)</f>
        <v>418244584.31031996</v>
      </c>
      <c r="V19" s="3">
        <v>431434824.30359399</v>
      </c>
      <c r="W19" s="16">
        <f t="shared" ref="W19:W34" si="2">T19-V19</f>
        <v>-13190239.993274033</v>
      </c>
    </row>
    <row r="20" spans="1:24">
      <c r="A20" t="s">
        <v>45</v>
      </c>
      <c r="B20" s="9" t="s">
        <v>43</v>
      </c>
      <c r="C20" s="15">
        <v>1.4501322934565594E-2</v>
      </c>
      <c r="D20" s="3">
        <f t="shared" ref="D20:L20" si="3">D13*$C20</f>
        <v>9922631.3700254299</v>
      </c>
      <c r="E20" s="3">
        <f t="shared" si="3"/>
        <v>1047015.0157948412</v>
      </c>
      <c r="F20" s="3">
        <f t="shared" si="3"/>
        <v>17430687.521391604</v>
      </c>
      <c r="G20" s="3">
        <f t="shared" si="3"/>
        <v>18323520.218055502</v>
      </c>
      <c r="H20" s="3">
        <f t="shared" si="3"/>
        <v>7723210.0578080583</v>
      </c>
      <c r="I20" s="3">
        <f t="shared" si="3"/>
        <v>0</v>
      </c>
      <c r="J20" s="3">
        <f t="shared" si="3"/>
        <v>0</v>
      </c>
      <c r="K20" s="3">
        <f t="shared" si="3"/>
        <v>2532915.8388619409</v>
      </c>
      <c r="L20" s="3">
        <f t="shared" si="3"/>
        <v>3590443.192957791</v>
      </c>
      <c r="M20" s="3"/>
      <c r="N20" s="3"/>
      <c r="O20" s="3"/>
      <c r="P20" s="3"/>
      <c r="Q20" s="3"/>
      <c r="R20" s="3"/>
      <c r="S20" s="3"/>
      <c r="T20" s="16">
        <f t="shared" ref="T20:T34" si="4">SUM(D20:S20)</f>
        <v>60570423.214895166</v>
      </c>
      <c r="V20" s="3">
        <v>58085482.479917996</v>
      </c>
      <c r="W20" s="16">
        <f t="shared" si="2"/>
        <v>2484940.7349771708</v>
      </c>
    </row>
    <row r="21" spans="1:24">
      <c r="A21" t="s">
        <v>46</v>
      </c>
      <c r="B21" s="9" t="s">
        <v>43</v>
      </c>
      <c r="C21" s="15">
        <v>2.2008263372353264E-3</v>
      </c>
      <c r="D21" s="3">
        <f t="shared" ref="D21:J21" si="5">D13*$C21</f>
        <v>1505930.7728245966</v>
      </c>
      <c r="E21" s="3">
        <f t="shared" si="5"/>
        <v>158902.62099808731</v>
      </c>
      <c r="F21" s="3">
        <f t="shared" si="5"/>
        <v>2645408.0325152744</v>
      </c>
      <c r="G21" s="3">
        <f t="shared" si="5"/>
        <v>2780910.8223248175</v>
      </c>
      <c r="H21" s="3">
        <f t="shared" si="5"/>
        <v>1172130.5828387113</v>
      </c>
      <c r="I21" s="3">
        <f t="shared" si="5"/>
        <v>0</v>
      </c>
      <c r="J21" s="3">
        <f t="shared" si="5"/>
        <v>0</v>
      </c>
      <c r="K21" s="3"/>
      <c r="L21" s="3"/>
      <c r="M21" s="3"/>
      <c r="N21" s="3"/>
      <c r="O21" s="3"/>
      <c r="P21" s="3"/>
      <c r="Q21" s="3"/>
      <c r="R21" s="3"/>
      <c r="S21" s="3"/>
      <c r="T21" s="16">
        <f t="shared" si="4"/>
        <v>8263282.8315014867</v>
      </c>
      <c r="V21" s="3">
        <v>7949256.7581719998</v>
      </c>
      <c r="W21" s="16">
        <f t="shared" si="2"/>
        <v>314026.07332948688</v>
      </c>
    </row>
    <row r="22" spans="1:24">
      <c r="A22" t="s">
        <v>47</v>
      </c>
      <c r="B22" s="9" t="s">
        <v>43</v>
      </c>
      <c r="C22" s="15">
        <v>2.2734204376303898E-3</v>
      </c>
      <c r="D22" s="3">
        <f t="shared" ref="D22:J22" si="6">D13*$C22</f>
        <v>1555603.7923904085</v>
      </c>
      <c r="E22" s="3">
        <f t="shared" si="6"/>
        <v>164144.0126638489</v>
      </c>
      <c r="F22" s="3">
        <f t="shared" si="6"/>
        <v>2732666.6285476913</v>
      </c>
      <c r="G22" s="3">
        <f t="shared" si="6"/>
        <v>2872638.9682534798</v>
      </c>
      <c r="H22" s="3">
        <f t="shared" si="6"/>
        <v>1210793.2268497818</v>
      </c>
      <c r="I22" s="3">
        <f t="shared" si="6"/>
        <v>0</v>
      </c>
      <c r="J22" s="3">
        <f t="shared" si="6"/>
        <v>0</v>
      </c>
      <c r="K22" s="3"/>
      <c r="L22" s="3"/>
      <c r="M22" s="3"/>
      <c r="N22" s="3"/>
      <c r="O22" s="3"/>
      <c r="P22" s="3"/>
      <c r="Q22" s="3"/>
      <c r="R22" s="3"/>
      <c r="S22" s="3"/>
      <c r="T22" s="16">
        <f t="shared" si="4"/>
        <v>8535846.6287052091</v>
      </c>
      <c r="V22" s="3">
        <v>8209395.232164003</v>
      </c>
      <c r="W22" s="16">
        <f t="shared" si="2"/>
        <v>326451.39654120617</v>
      </c>
    </row>
    <row r="23" spans="1:24">
      <c r="A23" t="s">
        <v>48</v>
      </c>
      <c r="B23" s="9" t="s">
        <v>43</v>
      </c>
      <c r="C23" s="15">
        <v>1.4616556514973302E-4</v>
      </c>
      <c r="D23" s="3">
        <f t="shared" ref="D23:L23" si="7">D13*$C23</f>
        <v>100014.80751215914</v>
      </c>
      <c r="E23" s="3">
        <f t="shared" si="7"/>
        <v>10553.350352547959</v>
      </c>
      <c r="F23" s="3">
        <f t="shared" si="7"/>
        <v>175691.9905865764</v>
      </c>
      <c r="G23" s="3">
        <f t="shared" si="7"/>
        <v>184691.26577552993</v>
      </c>
      <c r="H23" s="3">
        <f t="shared" si="7"/>
        <v>77845.819168596689</v>
      </c>
      <c r="I23" s="3">
        <f t="shared" si="7"/>
        <v>0</v>
      </c>
      <c r="J23" s="3">
        <f t="shared" si="7"/>
        <v>0</v>
      </c>
      <c r="K23" s="3">
        <f t="shared" si="7"/>
        <v>25530.434480670108</v>
      </c>
      <c r="L23" s="3">
        <f t="shared" si="7"/>
        <v>36189.743570620543</v>
      </c>
      <c r="M23" s="3"/>
      <c r="N23" s="3"/>
      <c r="O23" s="3"/>
      <c r="P23" s="3"/>
      <c r="Q23" s="3"/>
      <c r="R23" s="3"/>
      <c r="S23" s="3"/>
      <c r="T23" s="16">
        <f t="shared" si="4"/>
        <v>610517.4114467008</v>
      </c>
      <c r="V23" s="3">
        <v>626832.52074000018</v>
      </c>
      <c r="W23" s="16">
        <f t="shared" si="2"/>
        <v>-16315.109293299378</v>
      </c>
    </row>
    <row r="24" spans="1:24">
      <c r="A24" t="s">
        <v>49</v>
      </c>
      <c r="B24" s="9" t="s">
        <v>43</v>
      </c>
      <c r="C24" s="15">
        <v>7.6562258957017478E-4</v>
      </c>
      <c r="D24" s="3">
        <f>D13*$C24</f>
        <v>523882.59741190972</v>
      </c>
      <c r="E24" s="3"/>
      <c r="F24" s="3">
        <f>F13*$C24</f>
        <v>920283.49263957317</v>
      </c>
      <c r="G24" s="3"/>
      <c r="H24" s="3">
        <f>H13*$C24</f>
        <v>407760.32027801732</v>
      </c>
      <c r="I24" s="3">
        <f>I13*$C24</f>
        <v>0</v>
      </c>
      <c r="J24" s="3"/>
      <c r="K24" s="3">
        <f>K13*$C24</f>
        <v>133729.70124610796</v>
      </c>
      <c r="L24" s="3"/>
      <c r="M24" s="3">
        <f>M13*$C24</f>
        <v>51570.738965564226</v>
      </c>
      <c r="N24" s="3"/>
      <c r="O24" s="3"/>
      <c r="P24" s="3"/>
      <c r="Q24" s="3">
        <f>Q13*$C24</f>
        <v>124525.87104548684</v>
      </c>
      <c r="R24" s="3"/>
      <c r="S24" s="3"/>
      <c r="T24" s="16">
        <f t="shared" si="4"/>
        <v>2161752.7215866591</v>
      </c>
      <c r="V24" s="3">
        <v>6360853.04</v>
      </c>
      <c r="W24" s="16">
        <f t="shared" si="2"/>
        <v>-4199100.3184133414</v>
      </c>
    </row>
    <row r="25" spans="1:24">
      <c r="A25" t="s">
        <v>50</v>
      </c>
      <c r="B25" s="9" t="s">
        <v>43</v>
      </c>
      <c r="C25" s="15">
        <v>2.6120959329666753E-3</v>
      </c>
      <c r="D25" s="3"/>
      <c r="E25" s="3">
        <f>E13*$C25</f>
        <v>188596.83884383971</v>
      </c>
      <c r="F25" s="3"/>
      <c r="G25" s="3">
        <f>G13*$C25</f>
        <v>3300581.116301388</v>
      </c>
      <c r="H25" s="3"/>
      <c r="I25" s="3"/>
      <c r="J25" s="3">
        <f>J13*$C25</f>
        <v>0</v>
      </c>
      <c r="K25" s="3"/>
      <c r="L25" s="3">
        <f>L13*$C25</f>
        <v>646739.75637891539</v>
      </c>
      <c r="M25" s="3"/>
      <c r="N25" s="3">
        <f>N13*$C25</f>
        <v>14760.22088567392</v>
      </c>
      <c r="O25" s="3"/>
      <c r="P25" s="3"/>
      <c r="Q25" s="3"/>
      <c r="R25" s="3">
        <f>R13*$C25</f>
        <v>1237.0979378827453</v>
      </c>
      <c r="S25" s="3"/>
      <c r="T25" s="16">
        <f t="shared" si="4"/>
        <v>4151915.0303476998</v>
      </c>
      <c r="V25" s="3"/>
      <c r="W25" s="16">
        <f t="shared" si="2"/>
        <v>4151915.0303476998</v>
      </c>
    </row>
    <row r="26" spans="1:24">
      <c r="A26" t="s">
        <v>51</v>
      </c>
      <c r="B26" s="9" t="s">
        <v>43</v>
      </c>
      <c r="C26" s="15">
        <v>2.448423032858717E-3</v>
      </c>
      <c r="D26" s="3">
        <f t="shared" ref="D26:N26" si="8">D13*$C26</f>
        <v>1675350.5388827126</v>
      </c>
      <c r="E26" s="3">
        <f t="shared" si="8"/>
        <v>176779.43536520633</v>
      </c>
      <c r="F26" s="3">
        <f t="shared" si="8"/>
        <v>2943020.9228849704</v>
      </c>
      <c r="G26" s="3">
        <f t="shared" si="8"/>
        <v>3093768.0063659255</v>
      </c>
      <c r="H26" s="3">
        <f t="shared" si="8"/>
        <v>1303997.2613857121</v>
      </c>
      <c r="I26" s="3">
        <f t="shared" si="8"/>
        <v>0</v>
      </c>
      <c r="J26" s="3">
        <f t="shared" si="8"/>
        <v>0</v>
      </c>
      <c r="K26" s="3">
        <f t="shared" si="8"/>
        <v>427660.94570446946</v>
      </c>
      <c r="L26" s="3">
        <f t="shared" si="8"/>
        <v>606215.29852662329</v>
      </c>
      <c r="M26" s="3">
        <f t="shared" si="8"/>
        <v>164920.66303283846</v>
      </c>
      <c r="N26" s="3">
        <f t="shared" si="8"/>
        <v>13835.351271161515</v>
      </c>
      <c r="O26" s="3"/>
      <c r="P26" s="3"/>
      <c r="Q26" s="3">
        <f>Q13*$C26</f>
        <v>398227.55363805633</v>
      </c>
      <c r="R26" s="3">
        <f>R13*$C26</f>
        <v>1159.5818694047859</v>
      </c>
      <c r="S26" s="3"/>
      <c r="T26" s="16">
        <f t="shared" si="4"/>
        <v>10804935.558927082</v>
      </c>
      <c r="V26" s="3">
        <v>10728671.821592003</v>
      </c>
      <c r="W26" s="16">
        <f t="shared" si="2"/>
        <v>76263.737335078418</v>
      </c>
    </row>
    <row r="27" spans="1:24">
      <c r="A27" t="s">
        <v>52</v>
      </c>
      <c r="B27" s="9" t="s">
        <v>43</v>
      </c>
      <c r="C27" s="15">
        <v>0.12921063734130833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>
        <f>Q13*$C27</f>
        <v>21015664.091497079</v>
      </c>
      <c r="R27" s="3">
        <f>R13*$C27</f>
        <v>61194.618080471191</v>
      </c>
      <c r="S27" s="3"/>
      <c r="T27" s="16">
        <f t="shared" si="4"/>
        <v>21076858.709577549</v>
      </c>
      <c r="V27" s="17">
        <v>20793993.804856006</v>
      </c>
      <c r="W27" s="16">
        <f t="shared" si="2"/>
        <v>282864.90472154319</v>
      </c>
    </row>
    <row r="28" spans="1:24">
      <c r="A28" t="s">
        <v>53</v>
      </c>
      <c r="B28" s="9" t="s">
        <v>54</v>
      </c>
      <c r="C28" s="18">
        <v>16076.806918102206</v>
      </c>
      <c r="D28" s="3">
        <f t="shared" ref="D28:J34" si="9">D$15*$C28</f>
        <v>80348665.615291193</v>
      </c>
      <c r="E28" s="3">
        <f t="shared" si="9"/>
        <v>14350157.85509803</v>
      </c>
      <c r="F28" s="3">
        <f t="shared" si="9"/>
        <v>232124976.68701869</v>
      </c>
      <c r="G28" s="3">
        <f t="shared" si="9"/>
        <v>233243922.44851863</v>
      </c>
      <c r="H28" s="3">
        <f t="shared" si="9"/>
        <v>12355026.116561545</v>
      </c>
      <c r="I28" s="3">
        <f t="shared" si="9"/>
        <v>0</v>
      </c>
      <c r="J28" s="3">
        <f t="shared" si="9"/>
        <v>0</v>
      </c>
      <c r="K28" s="3"/>
      <c r="L28" s="3"/>
      <c r="M28" s="3"/>
      <c r="N28" s="3"/>
      <c r="O28" s="3">
        <f t="shared" ref="O28:O34" si="10">O$15*$C28</f>
        <v>0</v>
      </c>
      <c r="P28" s="3"/>
      <c r="Q28" s="3"/>
      <c r="R28" s="3"/>
      <c r="S28" s="3"/>
      <c r="T28" s="16">
        <f t="shared" si="4"/>
        <v>572422748.72248805</v>
      </c>
      <c r="V28" s="3">
        <v>572672200.34659958</v>
      </c>
      <c r="W28" s="16">
        <f t="shared" si="2"/>
        <v>-249451.62411153316</v>
      </c>
    </row>
    <row r="29" spans="1:24">
      <c r="A29" t="s">
        <v>55</v>
      </c>
      <c r="B29" s="9" t="s">
        <v>54</v>
      </c>
      <c r="C29" s="18">
        <v>13.175547597983458</v>
      </c>
      <c r="D29" s="3">
        <f t="shared" si="9"/>
        <v>65848.751785201719</v>
      </c>
      <c r="E29" s="3">
        <f t="shared" si="9"/>
        <v>11760.493785960036</v>
      </c>
      <c r="F29" s="3">
        <f t="shared" si="9"/>
        <v>190235.14399348415</v>
      </c>
      <c r="G29" s="3">
        <f t="shared" si="9"/>
        <v>191152.16210630385</v>
      </c>
      <c r="H29" s="3">
        <f t="shared" si="9"/>
        <v>10125.408329050288</v>
      </c>
      <c r="I29" s="3">
        <f t="shared" si="9"/>
        <v>0</v>
      </c>
      <c r="J29" s="3">
        <f t="shared" si="9"/>
        <v>0</v>
      </c>
      <c r="K29" s="3"/>
      <c r="L29" s="3"/>
      <c r="M29" s="3"/>
      <c r="N29" s="3"/>
      <c r="O29" s="3">
        <f t="shared" si="10"/>
        <v>0</v>
      </c>
      <c r="P29" s="3"/>
      <c r="Q29" s="3"/>
      <c r="R29" s="3"/>
      <c r="S29" s="3"/>
      <c r="T29" s="16">
        <f t="shared" si="4"/>
        <v>469121.96</v>
      </c>
      <c r="V29" s="3">
        <v>469121.96</v>
      </c>
      <c r="W29" s="16">
        <f t="shared" si="2"/>
        <v>0</v>
      </c>
      <c r="X29" t="s">
        <v>56</v>
      </c>
    </row>
    <row r="30" spans="1:24">
      <c r="A30" t="s">
        <v>57</v>
      </c>
      <c r="B30" s="9" t="s">
        <v>54</v>
      </c>
      <c r="C30" s="18">
        <v>308.94103439075423</v>
      </c>
      <c r="D30" s="3">
        <f t="shared" si="9"/>
        <v>1544025.5016781113</v>
      </c>
      <c r="E30" s="3">
        <f t="shared" si="9"/>
        <v>275760.76729718724</v>
      </c>
      <c r="F30" s="3">
        <f t="shared" si="9"/>
        <v>4460645.1250509052</v>
      </c>
      <c r="G30" s="3">
        <f t="shared" si="9"/>
        <v>4482147.4210445024</v>
      </c>
      <c r="H30" s="3">
        <f t="shared" si="9"/>
        <v>237421.18492929463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16">
        <f t="shared" si="4"/>
        <v>11000000</v>
      </c>
      <c r="V30" s="3">
        <v>11000000</v>
      </c>
      <c r="W30" s="16">
        <f t="shared" si="2"/>
        <v>0</v>
      </c>
    </row>
    <row r="31" spans="1:24">
      <c r="A31" t="s">
        <v>58</v>
      </c>
      <c r="B31" s="9" t="s">
        <v>54</v>
      </c>
      <c r="C31" s="18">
        <v>45.852086794231262</v>
      </c>
      <c r="D31" s="3">
        <f t="shared" si="9"/>
        <v>229159.55938020896</v>
      </c>
      <c r="E31" s="3">
        <f t="shared" si="9"/>
        <v>40927.572672530827</v>
      </c>
      <c r="F31" s="3">
        <f t="shared" si="9"/>
        <v>662035.35517850809</v>
      </c>
      <c r="G31" s="3">
        <f t="shared" si="9"/>
        <v>665226.6604193867</v>
      </c>
      <c r="H31" s="3">
        <f t="shared" si="9"/>
        <v>35237.328701366721</v>
      </c>
      <c r="I31" s="3">
        <f t="shared" si="9"/>
        <v>0</v>
      </c>
      <c r="J31" s="3">
        <f t="shared" si="9"/>
        <v>0</v>
      </c>
      <c r="K31" s="3"/>
      <c r="L31" s="3"/>
      <c r="M31" s="3"/>
      <c r="N31" s="3"/>
      <c r="O31" s="3">
        <f t="shared" si="10"/>
        <v>0</v>
      </c>
      <c r="P31" s="3"/>
      <c r="Q31" s="3"/>
      <c r="R31" s="3"/>
      <c r="S31" s="3"/>
      <c r="T31" s="16">
        <f t="shared" si="4"/>
        <v>1632586.4763520011</v>
      </c>
      <c r="V31" s="3">
        <v>1601341.5243730014</v>
      </c>
      <c r="W31" s="16">
        <f t="shared" si="2"/>
        <v>31244.951978999656</v>
      </c>
    </row>
    <row r="32" spans="1:24">
      <c r="A32" t="s">
        <v>59</v>
      </c>
      <c r="B32" s="9" t="s">
        <v>54</v>
      </c>
      <c r="C32" s="18">
        <v>499.6820291117665</v>
      </c>
      <c r="D32" s="3">
        <f t="shared" si="9"/>
        <v>2497310.845094786</v>
      </c>
      <c r="E32" s="3">
        <f t="shared" si="9"/>
        <v>446016.17918516276</v>
      </c>
      <c r="F32" s="3">
        <f t="shared" si="9"/>
        <v>7214658.9773302404</v>
      </c>
      <c r="G32" s="3">
        <f t="shared" si="9"/>
        <v>7249436.8465564204</v>
      </c>
      <c r="H32" s="3">
        <f t="shared" si="9"/>
        <v>384005.63937239256</v>
      </c>
      <c r="I32" s="3">
        <f t="shared" si="9"/>
        <v>0</v>
      </c>
      <c r="J32" s="3">
        <f t="shared" si="9"/>
        <v>0</v>
      </c>
      <c r="K32" s="3"/>
      <c r="L32" s="3"/>
      <c r="M32" s="3"/>
      <c r="N32" s="3"/>
      <c r="O32" s="3">
        <f t="shared" si="10"/>
        <v>0</v>
      </c>
      <c r="P32" s="3"/>
      <c r="Q32" s="3"/>
      <c r="R32" s="3"/>
      <c r="S32" s="3"/>
      <c r="T32" s="16">
        <f t="shared" si="4"/>
        <v>17791428.487539005</v>
      </c>
      <c r="V32" s="3">
        <v>17791428.487539005</v>
      </c>
      <c r="W32" s="16">
        <f t="shared" si="2"/>
        <v>0</v>
      </c>
    </row>
    <row r="33" spans="1:23">
      <c r="A33" t="s">
        <v>60</v>
      </c>
      <c r="B33" s="9" t="s">
        <v>54</v>
      </c>
      <c r="C33" s="18">
        <v>824.71661331459995</v>
      </c>
      <c r="D33" s="3">
        <f t="shared" si="9"/>
        <v>4121768.6900237072</v>
      </c>
      <c r="E33" s="3">
        <f t="shared" si="9"/>
        <v>736142.04904461198</v>
      </c>
      <c r="F33" s="3">
        <f t="shared" si="9"/>
        <v>11907670.821342852</v>
      </c>
      <c r="G33" s="3">
        <f t="shared" si="9"/>
        <v>11965071.097629549</v>
      </c>
      <c r="H33" s="3">
        <f t="shared" si="9"/>
        <v>633794.71733227011</v>
      </c>
      <c r="I33" s="3">
        <f t="shared" si="9"/>
        <v>0</v>
      </c>
      <c r="J33" s="3">
        <f t="shared" si="9"/>
        <v>0</v>
      </c>
      <c r="K33" s="3"/>
      <c r="L33" s="3"/>
      <c r="M33" s="3"/>
      <c r="N33" s="3"/>
      <c r="O33" s="3">
        <f t="shared" si="10"/>
        <v>0</v>
      </c>
      <c r="P33" s="3"/>
      <c r="Q33" s="3"/>
      <c r="R33" s="3"/>
      <c r="S33" s="3"/>
      <c r="T33" s="16">
        <f t="shared" si="4"/>
        <v>29364447.375372987</v>
      </c>
      <c r="V33" s="3">
        <v>29364447.375372995</v>
      </c>
      <c r="W33" s="16">
        <f t="shared" si="2"/>
        <v>0</v>
      </c>
    </row>
    <row r="34" spans="1:23">
      <c r="A34" t="s">
        <v>61</v>
      </c>
      <c r="B34" s="9" t="s">
        <v>54</v>
      </c>
      <c r="C34" s="18">
        <v>352.52641004709943</v>
      </c>
      <c r="D34" s="3">
        <f t="shared" si="9"/>
        <v>1761856.4921333932</v>
      </c>
      <c r="E34" s="3">
        <f t="shared" si="9"/>
        <v>314665.07360804098</v>
      </c>
      <c r="F34" s="3">
        <f t="shared" si="9"/>
        <v>5089952.5714650452</v>
      </c>
      <c r="G34" s="3">
        <f t="shared" si="9"/>
        <v>5114488.409604324</v>
      </c>
      <c r="H34" s="3">
        <f t="shared" si="9"/>
        <v>270916.54612119589</v>
      </c>
      <c r="I34" s="3">
        <f t="shared" si="9"/>
        <v>0</v>
      </c>
      <c r="J34" s="3">
        <f t="shared" si="9"/>
        <v>0</v>
      </c>
      <c r="K34" s="3"/>
      <c r="L34" s="3"/>
      <c r="M34" s="3"/>
      <c r="N34" s="3"/>
      <c r="O34" s="3">
        <f t="shared" si="10"/>
        <v>0</v>
      </c>
      <c r="P34" s="3"/>
      <c r="Q34" s="3"/>
      <c r="R34" s="3"/>
      <c r="S34" s="3"/>
      <c r="T34" s="16">
        <f t="shared" si="4"/>
        <v>12551879.092932001</v>
      </c>
      <c r="V34" s="3">
        <v>12551879.092931999</v>
      </c>
      <c r="W34" s="16">
        <f t="shared" si="2"/>
        <v>0</v>
      </c>
    </row>
    <row r="35" spans="1:23"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1:23"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 spans="1:23" ht="13.5" thickBot="1">
      <c r="A37" t="s">
        <v>62</v>
      </c>
      <c r="D37" s="19">
        <f t="shared" ref="D37:R37" si="11">SUM(D18:D36)</f>
        <v>201305897.3981252</v>
      </c>
      <c r="E37" s="19">
        <f t="shared" si="11"/>
        <v>27993508.850266147</v>
      </c>
      <c r="F37" s="19">
        <f t="shared" si="11"/>
        <v>456177869.79754126</v>
      </c>
      <c r="G37" s="19">
        <f t="shared" si="11"/>
        <v>469736374.63640368</v>
      </c>
      <c r="H37" s="19">
        <f t="shared" si="11"/>
        <v>100118092.79895213</v>
      </c>
      <c r="I37" s="19">
        <f t="shared" si="11"/>
        <v>0</v>
      </c>
      <c r="J37" s="19">
        <f t="shared" si="11"/>
        <v>0</v>
      </c>
      <c r="K37" s="19">
        <f t="shared" si="11"/>
        <v>27486011.035277523</v>
      </c>
      <c r="L37" s="19">
        <f t="shared" si="11"/>
        <v>39418976.409833863</v>
      </c>
      <c r="M37" s="19">
        <f t="shared" si="11"/>
        <v>216491.4019984027</v>
      </c>
      <c r="N37" s="19">
        <f t="shared" si="11"/>
        <v>28595.572156835435</v>
      </c>
      <c r="O37" s="19">
        <f t="shared" si="11"/>
        <v>0</v>
      </c>
      <c r="P37" s="19">
        <f t="shared" si="11"/>
        <v>0</v>
      </c>
      <c r="Q37" s="19">
        <f t="shared" si="11"/>
        <v>21538417.516180623</v>
      </c>
      <c r="R37" s="19">
        <f t="shared" si="11"/>
        <v>63591.297887758723</v>
      </c>
      <c r="S37" s="3"/>
      <c r="T37" s="20">
        <f>SUM(D37:S37)</f>
        <v>1344083826.7146237</v>
      </c>
      <c r="V37" s="16">
        <f>SUM(V18:V34)</f>
        <v>1357721085.5691006</v>
      </c>
      <c r="W37" s="16">
        <f>T37-V37</f>
        <v>-13637258.854476929</v>
      </c>
    </row>
    <row r="38" spans="1:23" ht="13.5" thickTop="1"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3"/>
    </row>
    <row r="39" spans="1:23">
      <c r="A39" s="1" t="s">
        <v>63</v>
      </c>
      <c r="D39" s="22">
        <f t="shared" ref="D39:R39" si="12">D37/D13</f>
        <v>0.29419633945297519</v>
      </c>
      <c r="E39" s="22">
        <f t="shared" si="12"/>
        <v>0.38771450818320685</v>
      </c>
      <c r="F39" s="22">
        <f t="shared" si="12"/>
        <v>0.37951357899210564</v>
      </c>
      <c r="G39" s="22">
        <f t="shared" si="12"/>
        <v>0.37175164933659494</v>
      </c>
      <c r="H39" s="22">
        <f t="shared" si="12"/>
        <v>0.187984631313066</v>
      </c>
      <c r="I39" s="22">
        <f>0</f>
        <v>0</v>
      </c>
      <c r="J39" s="22">
        <f>0</f>
        <v>0</v>
      </c>
      <c r="K39" s="22">
        <f t="shared" si="12"/>
        <v>0.15736153412214426</v>
      </c>
      <c r="L39" s="22">
        <f t="shared" si="12"/>
        <v>0.15920800746554073</v>
      </c>
      <c r="M39" s="22">
        <f t="shared" si="12"/>
        <v>3.2140456224288919E-3</v>
      </c>
      <c r="N39" s="22">
        <f t="shared" si="12"/>
        <v>5.0605189658253927E-3</v>
      </c>
      <c r="O39" s="22" t="e">
        <f t="shared" si="12"/>
        <v>#DIV/0!</v>
      </c>
      <c r="P39" s="22" t="e">
        <f t="shared" si="12"/>
        <v>#REF!</v>
      </c>
      <c r="Q39" s="22">
        <f t="shared" si="12"/>
        <v>0.13242468296373724</v>
      </c>
      <c r="R39" s="22">
        <f t="shared" si="12"/>
        <v>0.13427115630713374</v>
      </c>
      <c r="S39" s="3"/>
    </row>
    <row r="40" spans="1:23"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3"/>
    </row>
    <row r="41" spans="1:23"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3"/>
    </row>
    <row r="42" spans="1:23">
      <c r="A42" t="s">
        <v>64</v>
      </c>
      <c r="D42" s="21">
        <f>D37-D73</f>
        <v>181981167.86522612</v>
      </c>
      <c r="E42" s="23"/>
      <c r="F42" s="21">
        <f>F37-E73</f>
        <v>400372242.35292298</v>
      </c>
      <c r="G42" s="23"/>
      <c r="H42" s="23"/>
      <c r="I42" s="21">
        <f>I37-F73</f>
        <v>0</v>
      </c>
      <c r="J42" s="23"/>
      <c r="K42" s="21">
        <f>K37-G73</f>
        <v>23322434.716404367</v>
      </c>
      <c r="L42" s="23"/>
      <c r="M42" s="21">
        <f>M37</f>
        <v>216491.4019984027</v>
      </c>
      <c r="N42" s="23"/>
      <c r="O42" s="21">
        <f>O37</f>
        <v>0</v>
      </c>
      <c r="P42" s="23"/>
      <c r="Q42" s="21">
        <f>Q37-I73</f>
        <v>13931229.680046465</v>
      </c>
      <c r="R42" s="23"/>
      <c r="S42" s="3"/>
    </row>
    <row r="43" spans="1:23"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3"/>
    </row>
    <row r="44" spans="1:23">
      <c r="A44" t="s">
        <v>65</v>
      </c>
      <c r="D44" s="21">
        <f>D13-D75</f>
        <v>617473743.29011333</v>
      </c>
      <c r="E44" s="23"/>
      <c r="F44" s="21">
        <f>F13-E75</f>
        <v>1051817186.2465484</v>
      </c>
      <c r="G44" s="23"/>
      <c r="H44" s="23"/>
      <c r="I44" s="21">
        <f>I13-F75</f>
        <v>0</v>
      </c>
      <c r="J44" s="23"/>
      <c r="K44" s="21">
        <f>K13-G75</f>
        <v>148209248.50860602</v>
      </c>
      <c r="L44" s="23"/>
      <c r="M44" s="21">
        <f>M13</f>
        <v>67357911.937416002</v>
      </c>
      <c r="N44" s="23"/>
      <c r="O44" s="21">
        <f>O13</f>
        <v>0</v>
      </c>
      <c r="P44" s="23"/>
      <c r="Q44" s="21">
        <f>Q13-I75</f>
        <v>102971250.192671</v>
      </c>
      <c r="R44" s="23"/>
      <c r="S44" s="3"/>
    </row>
    <row r="45" spans="1:23"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3"/>
    </row>
    <row r="46" spans="1:23"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3"/>
    </row>
    <row r="47" spans="1:23">
      <c r="A47" s="1" t="s">
        <v>66</v>
      </c>
      <c r="D47" s="23"/>
      <c r="E47" s="23"/>
      <c r="F47" s="24">
        <f>(F37+I37)/(F13+I13)</f>
        <v>0.37951357899210564</v>
      </c>
      <c r="G47" s="24">
        <f>(G37+J37)/(G13+J13)</f>
        <v>0.37175164933659494</v>
      </c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3"/>
    </row>
    <row r="48" spans="1:23">
      <c r="D48" s="23"/>
      <c r="E48" s="23"/>
      <c r="F48" s="25" t="s">
        <v>36</v>
      </c>
      <c r="G48" s="25" t="s">
        <v>35</v>
      </c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3"/>
    </row>
    <row r="49" spans="1:19"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3"/>
    </row>
    <row r="50" spans="1:19"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</row>
    <row r="51" spans="1:19">
      <c r="A51" s="1" t="s">
        <v>67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</row>
    <row r="52" spans="1:19"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</row>
    <row r="53" spans="1:19">
      <c r="A53" t="s">
        <v>68</v>
      </c>
      <c r="D53" s="26">
        <v>9.7599636512341742E-2</v>
      </c>
      <c r="E53" s="26">
        <v>0.12494899199078753</v>
      </c>
      <c r="F53" s="26">
        <v>0</v>
      </c>
      <c r="G53" s="26">
        <v>0.15147983145059948</v>
      </c>
      <c r="H53" s="26"/>
      <c r="I53" s="27">
        <f>J85</f>
        <v>0.34967684143128613</v>
      </c>
      <c r="J53" s="3" t="s">
        <v>69</v>
      </c>
      <c r="K53" s="3"/>
      <c r="L53" s="3"/>
      <c r="M53" s="3"/>
      <c r="N53" s="3"/>
      <c r="O53" s="3"/>
      <c r="P53" s="3"/>
      <c r="Q53" s="3"/>
      <c r="R53" s="3"/>
      <c r="S53" s="3"/>
    </row>
    <row r="54" spans="1:19">
      <c r="D54" s="11" t="s">
        <v>18</v>
      </c>
      <c r="E54" s="11" t="s">
        <v>70</v>
      </c>
      <c r="F54" s="11" t="s">
        <v>22</v>
      </c>
      <c r="G54" s="11" t="s">
        <v>24</v>
      </c>
      <c r="H54" s="11"/>
      <c r="I54" s="11" t="s">
        <v>71</v>
      </c>
    </row>
    <row r="56" spans="1:19">
      <c r="A56" t="s">
        <v>42</v>
      </c>
      <c r="D56" s="16">
        <f t="shared" ref="D56:D67" si="13">D18*D$53</f>
        <v>9316260.8747205734</v>
      </c>
      <c r="E56" s="16">
        <f t="shared" ref="E56:E67" si="14">F18*E$53</f>
        <v>0</v>
      </c>
      <c r="F56" s="16">
        <f t="shared" ref="F56:F67" si="15">I18*F$53</f>
        <v>0</v>
      </c>
      <c r="G56" s="16">
        <f t="shared" ref="G56:G67" si="16">K18*G$53</f>
        <v>3690983.9480337864</v>
      </c>
      <c r="H56" s="16"/>
      <c r="I56" s="28">
        <f t="shared" ref="I56:I67" si="17">(M18+O18+Q18)*I$53</f>
        <v>0</v>
      </c>
    </row>
    <row r="57" spans="1:19">
      <c r="A57" t="s">
        <v>44</v>
      </c>
      <c r="D57" s="16">
        <f t="shared" si="13"/>
        <v>0</v>
      </c>
      <c r="E57" s="16">
        <f t="shared" si="14"/>
        <v>20951439.046202336</v>
      </c>
      <c r="F57" s="16">
        <f t="shared" si="15"/>
        <v>0</v>
      </c>
      <c r="G57" s="16">
        <f t="shared" si="16"/>
        <v>0</v>
      </c>
      <c r="H57" s="16"/>
      <c r="I57" s="28">
        <f t="shared" si="17"/>
        <v>0</v>
      </c>
    </row>
    <row r="58" spans="1:19">
      <c r="A58" t="s">
        <v>45</v>
      </c>
      <c r="D58" s="16">
        <f t="shared" si="13"/>
        <v>968445.21496044146</v>
      </c>
      <c r="E58" s="16">
        <f t="shared" si="14"/>
        <v>2177946.8355042795</v>
      </c>
      <c r="F58" s="16">
        <f t="shared" si="15"/>
        <v>0</v>
      </c>
      <c r="G58" s="16">
        <f t="shared" si="16"/>
        <v>383685.66434936062</v>
      </c>
      <c r="H58" s="16"/>
      <c r="I58" s="28">
        <f t="shared" si="17"/>
        <v>0</v>
      </c>
    </row>
    <row r="59" spans="1:19">
      <c r="A59" t="s">
        <v>46</v>
      </c>
      <c r="D59" s="16">
        <f t="shared" si="13"/>
        <v>146978.29604043052</v>
      </c>
      <c r="E59" s="16">
        <f t="shared" si="14"/>
        <v>330541.06706711603</v>
      </c>
      <c r="F59" s="16">
        <f t="shared" si="15"/>
        <v>0</v>
      </c>
      <c r="G59" s="16">
        <f t="shared" si="16"/>
        <v>0</v>
      </c>
      <c r="H59" s="16"/>
      <c r="I59" s="28">
        <f t="shared" si="17"/>
        <v>0</v>
      </c>
    </row>
    <row r="60" spans="1:19">
      <c r="A60" t="s">
        <v>47</v>
      </c>
      <c r="D60" s="16">
        <f t="shared" si="13"/>
        <v>151826.36469452418</v>
      </c>
      <c r="E60" s="16">
        <f t="shared" si="14"/>
        <v>341443.94068389782</v>
      </c>
      <c r="F60" s="16">
        <f t="shared" si="15"/>
        <v>0</v>
      </c>
      <c r="G60" s="16">
        <f t="shared" si="16"/>
        <v>0</v>
      </c>
      <c r="H60" s="16"/>
      <c r="I60" s="28">
        <f t="shared" si="17"/>
        <v>0</v>
      </c>
    </row>
    <row r="61" spans="1:19">
      <c r="A61" t="s">
        <v>48</v>
      </c>
      <c r="D61" s="16">
        <f t="shared" si="13"/>
        <v>9761.4088590385581</v>
      </c>
      <c r="E61" s="16">
        <f t="shared" si="14"/>
        <v>21952.537124647653</v>
      </c>
      <c r="F61" s="16">
        <f t="shared" si="15"/>
        <v>0</v>
      </c>
      <c r="G61" s="16">
        <f t="shared" si="16"/>
        <v>3867.3459119924814</v>
      </c>
      <c r="H61" s="16"/>
      <c r="I61" s="28">
        <f t="shared" si="17"/>
        <v>0</v>
      </c>
    </row>
    <row r="62" spans="1:19">
      <c r="A62" t="s">
        <v>49</v>
      </c>
      <c r="D62" s="16">
        <f t="shared" si="13"/>
        <v>51130.751082543851</v>
      </c>
      <c r="E62" s="16">
        <f t="shared" si="14"/>
        <v>114988.49475107601</v>
      </c>
      <c r="F62" s="16">
        <f t="shared" si="15"/>
        <v>0</v>
      </c>
      <c r="G62" s="16">
        <f t="shared" si="16"/>
        <v>20257.352604699456</v>
      </c>
      <c r="H62" s="16"/>
      <c r="I62" s="16">
        <f t="shared" si="17"/>
        <v>61576.906375421335</v>
      </c>
    </row>
    <row r="63" spans="1:19">
      <c r="A63" t="s">
        <v>50</v>
      </c>
      <c r="D63" s="16">
        <f t="shared" si="13"/>
        <v>0</v>
      </c>
      <c r="E63" s="16">
        <f t="shared" si="14"/>
        <v>0</v>
      </c>
      <c r="F63" s="16">
        <f t="shared" si="15"/>
        <v>0</v>
      </c>
      <c r="G63" s="16">
        <f t="shared" si="16"/>
        <v>0</v>
      </c>
      <c r="H63" s="16"/>
      <c r="I63" s="16">
        <f t="shared" si="17"/>
        <v>0</v>
      </c>
    </row>
    <row r="64" spans="1:19">
      <c r="A64" t="s">
        <v>72</v>
      </c>
      <c r="D64" s="16">
        <f t="shared" si="13"/>
        <v>163513.60362570861</v>
      </c>
      <c r="E64" s="16">
        <f t="shared" si="14"/>
        <v>367727.49772227427</v>
      </c>
      <c r="F64" s="16">
        <f t="shared" si="15"/>
        <v>0</v>
      </c>
      <c r="G64" s="16">
        <f t="shared" si="16"/>
        <v>64782.007973317013</v>
      </c>
      <c r="H64" s="16"/>
      <c r="I64" s="16">
        <f t="shared" si="17"/>
        <v>196919.88966314003</v>
      </c>
    </row>
    <row r="65" spans="1:10" ht="10.5" customHeight="1">
      <c r="A65" t="s">
        <v>52</v>
      </c>
      <c r="D65" s="16">
        <f t="shared" si="13"/>
        <v>0</v>
      </c>
      <c r="E65" s="16">
        <f t="shared" si="14"/>
        <v>0</v>
      </c>
      <c r="F65" s="16">
        <f t="shared" si="15"/>
        <v>0</v>
      </c>
      <c r="G65" s="16">
        <f t="shared" si="16"/>
        <v>0</v>
      </c>
      <c r="H65" s="16"/>
      <c r="I65" s="16">
        <f t="shared" si="17"/>
        <v>7348691.0400955975</v>
      </c>
    </row>
    <row r="66" spans="1:10">
      <c r="A66" t="s">
        <v>53</v>
      </c>
      <c r="D66" s="16">
        <f t="shared" si="13"/>
        <v>7842000.5583041115</v>
      </c>
      <c r="E66" s="16">
        <f t="shared" si="14"/>
        <v>29003781.852928042</v>
      </c>
      <c r="F66" s="16">
        <f t="shared" si="15"/>
        <v>0</v>
      </c>
      <c r="G66" s="28">
        <f t="shared" si="16"/>
        <v>0</v>
      </c>
      <c r="H66" s="28"/>
      <c r="I66" s="16">
        <f t="shared" si="17"/>
        <v>0</v>
      </c>
    </row>
    <row r="67" spans="1:10">
      <c r="A67" t="s">
        <v>55</v>
      </c>
      <c r="D67" s="16">
        <f t="shared" si="13"/>
        <v>6426.8142390271023</v>
      </c>
      <c r="E67" s="16">
        <f t="shared" si="14"/>
        <v>23769.689483208163</v>
      </c>
      <c r="F67" s="16">
        <f t="shared" si="15"/>
        <v>0</v>
      </c>
      <c r="G67" s="28">
        <f t="shared" si="16"/>
        <v>0</v>
      </c>
      <c r="H67" s="28"/>
      <c r="I67" s="16">
        <f t="shared" si="17"/>
        <v>0</v>
      </c>
    </row>
    <row r="68" spans="1:10">
      <c r="A68" t="s">
        <v>58</v>
      </c>
      <c r="D68" s="16">
        <f>D31*D$53</f>
        <v>22365.889698836789</v>
      </c>
      <c r="E68" s="16">
        <f>F31*E$53</f>
        <v>82720.650291817583</v>
      </c>
      <c r="F68" s="16">
        <f>I31*F$53</f>
        <v>0</v>
      </c>
      <c r="G68" s="16">
        <f>K31*G$53</f>
        <v>0</v>
      </c>
      <c r="H68" s="16"/>
      <c r="I68" s="16">
        <f>(M31+O31+Q31)*I$53</f>
        <v>0</v>
      </c>
    </row>
    <row r="69" spans="1:10">
      <c r="A69" t="s">
        <v>59</v>
      </c>
      <c r="D69" s="16">
        <f>D32*D$53</f>
        <v>243736.63073958008</v>
      </c>
      <c r="E69" s="16">
        <f>F32*E$53</f>
        <v>901464.36677469953</v>
      </c>
      <c r="F69" s="16">
        <f>I32*F$53</f>
        <v>0</v>
      </c>
      <c r="G69" s="16">
        <f>K32*G$53</f>
        <v>0</v>
      </c>
      <c r="H69" s="16"/>
      <c r="I69" s="16">
        <f>(M32+O32+Q32)*I$53</f>
        <v>0</v>
      </c>
    </row>
    <row r="70" spans="1:10">
      <c r="A70" t="s">
        <v>60</v>
      </c>
      <c r="D70" s="16">
        <f>D33*D$53</f>
        <v>402283.1259342648</v>
      </c>
      <c r="E70" s="16">
        <f>F33*E$53</f>
        <v>1487851.4660849024</v>
      </c>
      <c r="F70" s="16">
        <f>I33*F$53</f>
        <v>0</v>
      </c>
      <c r="G70" s="16">
        <f>K33*G$53</f>
        <v>0</v>
      </c>
      <c r="H70" s="16"/>
      <c r="I70" s="16">
        <f>(M33+O33+Q33)*I$53</f>
        <v>0</v>
      </c>
    </row>
    <row r="71" spans="1:10">
      <c r="A71" s="29" t="s">
        <v>73</v>
      </c>
      <c r="B71" s="29"/>
      <c r="C71" s="29"/>
      <c r="D71" s="16"/>
      <c r="E71" s="16"/>
      <c r="F71" s="16"/>
      <c r="G71" s="16"/>
      <c r="H71" s="16"/>
      <c r="I71" s="16"/>
    </row>
    <row r="73" spans="1:10" ht="13.5" thickBot="1">
      <c r="A73" t="s">
        <v>74</v>
      </c>
      <c r="D73" s="30">
        <f>SUM(D56:D72)</f>
        <v>19324729.532899085</v>
      </c>
      <c r="E73" s="30">
        <f>SUM(E56:E72)</f>
        <v>55805627.4446183</v>
      </c>
      <c r="F73" s="30">
        <f>SUM(F56:F72)</f>
        <v>0</v>
      </c>
      <c r="G73" s="30">
        <f>SUM(G56:G72)</f>
        <v>4163576.3188731559</v>
      </c>
      <c r="H73" s="30"/>
      <c r="I73" s="30">
        <f>SUM(I56:I72)</f>
        <v>7607187.836134159</v>
      </c>
    </row>
    <row r="74" spans="1:10" ht="13.5" thickTop="1"/>
    <row r="75" spans="1:10" ht="13.5" thickBot="1">
      <c r="A75" t="s">
        <v>75</v>
      </c>
      <c r="D75" s="31">
        <v>66783232.07684999</v>
      </c>
      <c r="E75" s="31">
        <v>150189527.21291995</v>
      </c>
      <c r="F75" s="31">
        <v>0</v>
      </c>
      <c r="G75" s="31">
        <v>26458666.294149004</v>
      </c>
      <c r="H75" s="31"/>
      <c r="I75" s="31">
        <v>59675297.521388002</v>
      </c>
    </row>
    <row r="76" spans="1:10" ht="13.5" thickTop="1"/>
    <row r="78" spans="1:10">
      <c r="A78" s="1" t="s">
        <v>76</v>
      </c>
    </row>
    <row r="79" spans="1:10">
      <c r="E79" s="9" t="s">
        <v>77</v>
      </c>
      <c r="F79" s="9" t="s">
        <v>78</v>
      </c>
      <c r="G79" s="9" t="s">
        <v>79</v>
      </c>
      <c r="H79" s="9"/>
      <c r="I79" s="9" t="s">
        <v>80</v>
      </c>
    </row>
    <row r="80" spans="1:10">
      <c r="D80" s="9" t="s">
        <v>79</v>
      </c>
      <c r="E80" s="9" t="s">
        <v>81</v>
      </c>
      <c r="F80" s="9" t="s">
        <v>82</v>
      </c>
      <c r="G80" s="9" t="s">
        <v>83</v>
      </c>
      <c r="H80" s="9"/>
      <c r="I80" s="9" t="s">
        <v>84</v>
      </c>
      <c r="J80" s="9"/>
    </row>
    <row r="81" spans="1:10">
      <c r="D81" s="32" t="s">
        <v>85</v>
      </c>
      <c r="E81" s="32" t="s">
        <v>86</v>
      </c>
      <c r="F81" s="32" t="s">
        <v>87</v>
      </c>
      <c r="G81" s="32" t="s">
        <v>88</v>
      </c>
      <c r="H81" s="32"/>
      <c r="I81" s="11" t="s">
        <v>89</v>
      </c>
      <c r="J81" s="32" t="s">
        <v>90</v>
      </c>
    </row>
    <row r="83" spans="1:10">
      <c r="A83" t="s">
        <v>91</v>
      </c>
      <c r="D83" s="3">
        <f>D85-D84</f>
        <v>3572042.8949180022</v>
      </c>
      <c r="E83" s="3">
        <f>E85-E84</f>
        <v>70929954.832334012</v>
      </c>
      <c r="F83" s="3">
        <f>M37+O37</f>
        <v>216491.4019984027</v>
      </c>
      <c r="G83" s="33">
        <f>F83/E83</f>
        <v>3.0521858150079251E-3</v>
      </c>
      <c r="H83" s="33"/>
      <c r="I83" s="3">
        <f>D83*G83</f>
        <v>10902.53865446857</v>
      </c>
    </row>
    <row r="84" spans="1:10">
      <c r="A84" t="s">
        <v>92</v>
      </c>
      <c r="D84" s="34">
        <v>56103254.62647</v>
      </c>
      <c r="E84" s="34">
        <v>159074504.819141</v>
      </c>
      <c r="F84" s="34">
        <f>Q37</f>
        <v>21538417.516180623</v>
      </c>
      <c r="G84" s="33">
        <f>F84/E84</f>
        <v>0.13539829993919281</v>
      </c>
      <c r="H84" s="33"/>
      <c r="I84" s="3">
        <f>D84*G84</f>
        <v>7596285.2974796919</v>
      </c>
    </row>
    <row r="85" spans="1:10">
      <c r="A85" t="s">
        <v>93</v>
      </c>
      <c r="D85" s="3">
        <v>59675297.521388002</v>
      </c>
      <c r="E85" s="3">
        <v>230004459.65147501</v>
      </c>
      <c r="F85" s="35">
        <f>SUM(F83:F84)</f>
        <v>21754908.918179028</v>
      </c>
      <c r="G85" s="3"/>
      <c r="H85" s="3"/>
      <c r="I85" s="35">
        <f>SUM(I83:I84)</f>
        <v>7607187.8361341609</v>
      </c>
      <c r="J85" s="36">
        <f>I85/F85</f>
        <v>0.34967684143128613</v>
      </c>
    </row>
    <row r="86" spans="1:10">
      <c r="D86" s="3"/>
      <c r="E86" s="3"/>
      <c r="F86" s="3"/>
      <c r="G86" s="3"/>
      <c r="H86" s="3"/>
      <c r="I86" s="3"/>
    </row>
    <row r="88" spans="1:10">
      <c r="A88" s="1" t="s">
        <v>94</v>
      </c>
    </row>
    <row r="89" spans="1:10">
      <c r="I89" s="13" t="s">
        <v>95</v>
      </c>
    </row>
    <row r="90" spans="1:10">
      <c r="A90" t="s">
        <v>96</v>
      </c>
      <c r="D90" s="16">
        <v>569804959.34211206</v>
      </c>
      <c r="E90" s="16">
        <v>57617080.865448005</v>
      </c>
      <c r="F90" s="16">
        <v>945401275.54653811</v>
      </c>
      <c r="G90" s="16">
        <v>977007280.09346902</v>
      </c>
      <c r="H90" s="16">
        <v>391380311.85498309</v>
      </c>
      <c r="I90" s="16">
        <f>SUM(D90:H90)</f>
        <v>2941210907.7025499</v>
      </c>
    </row>
    <row r="91" spans="1:10">
      <c r="A91" t="s">
        <v>97</v>
      </c>
      <c r="D91" s="37">
        <v>602785205.84940803</v>
      </c>
      <c r="E91" s="37">
        <v>60683675.937621005</v>
      </c>
      <c r="F91" s="37">
        <v>1031145364.7971219</v>
      </c>
      <c r="G91" s="37">
        <v>1046317532.3520851</v>
      </c>
      <c r="H91" s="37">
        <v>447154221.33260202</v>
      </c>
      <c r="I91" s="37">
        <f>SUM(D91:H91)</f>
        <v>3188086000.2688379</v>
      </c>
    </row>
    <row r="92" spans="1:10">
      <c r="A92" t="s">
        <v>98</v>
      </c>
      <c r="D92" s="16">
        <f>D91-D90</f>
        <v>32980246.507295966</v>
      </c>
      <c r="E92" s="16">
        <f t="shared" ref="E92:I92" si="18">E91-E90</f>
        <v>3066595.0721729994</v>
      </c>
      <c r="F92" s="16">
        <f t="shared" si="18"/>
        <v>85744089.250583768</v>
      </c>
      <c r="G92" s="16">
        <f t="shared" si="18"/>
        <v>69310252.25861609</v>
      </c>
      <c r="H92" s="16">
        <f t="shared" si="18"/>
        <v>55773909.477618933</v>
      </c>
      <c r="I92" s="16">
        <f t="shared" si="18"/>
        <v>246875092.56628799</v>
      </c>
    </row>
    <row r="93" spans="1:10">
      <c r="A93" t="s">
        <v>99</v>
      </c>
      <c r="D93" s="6">
        <f>D92/D90</f>
        <v>5.787988673418084E-2</v>
      </c>
      <c r="E93" s="6">
        <f t="shared" ref="E93:I93" si="19">E92/E90</f>
        <v>5.3223714671250984E-2</v>
      </c>
      <c r="F93" s="6">
        <f t="shared" si="19"/>
        <v>9.0695973729266396E-2</v>
      </c>
      <c r="G93" s="6">
        <f t="shared" si="19"/>
        <v>7.0941387716154242E-2</v>
      </c>
      <c r="H93" s="6">
        <f t="shared" si="19"/>
        <v>0.14250565955470101</v>
      </c>
      <c r="I93" s="6">
        <f t="shared" si="19"/>
        <v>8.3936548691480276E-2</v>
      </c>
    </row>
    <row r="95" spans="1:10">
      <c r="A95" t="s">
        <v>100</v>
      </c>
      <c r="D95" s="16">
        <f>D90*1.03</f>
        <v>586899108.12237549</v>
      </c>
      <c r="E95" s="16">
        <f t="shared" ref="E95:I95" si="20">E90*1.03</f>
        <v>59345593.291411445</v>
      </c>
      <c r="F95" s="16">
        <f t="shared" si="20"/>
        <v>973763313.81293428</v>
      </c>
      <c r="G95" s="16">
        <f t="shared" si="20"/>
        <v>1006317498.4962732</v>
      </c>
      <c r="H95" s="16">
        <f t="shared" si="20"/>
        <v>403121721.21063262</v>
      </c>
      <c r="I95" s="16">
        <f t="shared" si="20"/>
        <v>3029447234.9336267</v>
      </c>
    </row>
    <row r="96" spans="1:10">
      <c r="A96" t="s">
        <v>97</v>
      </c>
      <c r="D96" s="37">
        <f>D91</f>
        <v>602785205.84940803</v>
      </c>
      <c r="E96" s="37">
        <f t="shared" ref="E96:I96" si="21">E91</f>
        <v>60683675.937621005</v>
      </c>
      <c r="F96" s="37">
        <f t="shared" si="21"/>
        <v>1031145364.7971219</v>
      </c>
      <c r="G96" s="37">
        <f t="shared" si="21"/>
        <v>1046317532.3520851</v>
      </c>
      <c r="H96" s="37">
        <f t="shared" si="21"/>
        <v>447154221.33260202</v>
      </c>
      <c r="I96" s="37">
        <f t="shared" si="21"/>
        <v>3188086000.2688379</v>
      </c>
    </row>
    <row r="97" spans="1:9">
      <c r="A97" t="s">
        <v>98</v>
      </c>
      <c r="D97" s="16">
        <f>D96-D95</f>
        <v>15886097.727032542</v>
      </c>
      <c r="E97" s="16">
        <f t="shared" ref="E97:I97" si="22">E96-E95</f>
        <v>1338082.6462095603</v>
      </c>
      <c r="F97" s="16">
        <f t="shared" si="22"/>
        <v>57382050.984187603</v>
      </c>
      <c r="G97" s="16">
        <f t="shared" si="22"/>
        <v>40000033.855811954</v>
      </c>
      <c r="H97" s="16">
        <f t="shared" si="22"/>
        <v>44032500.121969402</v>
      </c>
      <c r="I97" s="16">
        <f t="shared" si="22"/>
        <v>158638765.33521128</v>
      </c>
    </row>
    <row r="98" spans="1:9">
      <c r="A98" t="s">
        <v>99</v>
      </c>
      <c r="D98" s="6">
        <f>D97/D95</f>
        <v>2.7067851198233718E-2</v>
      </c>
      <c r="E98" s="6">
        <f t="shared" ref="E98:I98" si="23">E97/E95</f>
        <v>2.2547295797331071E-2</v>
      </c>
      <c r="F98" s="6">
        <f t="shared" si="23"/>
        <v>5.8928129834239201E-2</v>
      </c>
      <c r="G98" s="6">
        <f t="shared" si="23"/>
        <v>3.9748920112771043E-2</v>
      </c>
      <c r="H98" s="6">
        <f t="shared" si="23"/>
        <v>0.10922879568417564</v>
      </c>
      <c r="I98" s="6">
        <f t="shared" si="23"/>
        <v>5.2365581253864271E-2</v>
      </c>
    </row>
    <row r="100" spans="1:9">
      <c r="A100" s="2" t="s">
        <v>96</v>
      </c>
      <c r="D100" s="16">
        <f>D90</f>
        <v>569804959.34211206</v>
      </c>
      <c r="E100" s="16">
        <f t="shared" ref="E100:I100" si="24">E90</f>
        <v>57617080.865448005</v>
      </c>
      <c r="F100" s="16">
        <f t="shared" si="24"/>
        <v>945401275.54653811</v>
      </c>
      <c r="G100" s="16">
        <f t="shared" si="24"/>
        <v>977007280.09346902</v>
      </c>
      <c r="H100" s="16">
        <f t="shared" si="24"/>
        <v>391380311.85498309</v>
      </c>
      <c r="I100" s="16">
        <f t="shared" si="24"/>
        <v>2941210907.7025499</v>
      </c>
    </row>
    <row r="101" spans="1:9">
      <c r="A101" s="2" t="s">
        <v>101</v>
      </c>
      <c r="D101" s="37">
        <f>D91/1.03</f>
        <v>585228355.19360006</v>
      </c>
      <c r="E101" s="37">
        <f t="shared" ref="E101:I101" si="25">E91/1.03</f>
        <v>58916190.230700001</v>
      </c>
      <c r="F101" s="37">
        <f t="shared" si="25"/>
        <v>1001112004.6573999</v>
      </c>
      <c r="G101" s="37">
        <f t="shared" si="25"/>
        <v>1015842264.4195001</v>
      </c>
      <c r="H101" s="37">
        <f t="shared" si="25"/>
        <v>434130311.9734</v>
      </c>
      <c r="I101" s="37">
        <f t="shared" si="25"/>
        <v>3095229126.4745998</v>
      </c>
    </row>
    <row r="102" spans="1:9">
      <c r="A102" t="s">
        <v>98</v>
      </c>
      <c r="D102" s="16">
        <f>D101-D100</f>
        <v>15423395.851487994</v>
      </c>
      <c r="E102" s="16">
        <f t="shared" ref="E102:I102" si="26">E101-E100</f>
        <v>1299109.3652519956</v>
      </c>
      <c r="F102" s="16">
        <f t="shared" si="26"/>
        <v>55710729.110861778</v>
      </c>
      <c r="G102" s="16">
        <f t="shared" si="26"/>
        <v>38834984.326031089</v>
      </c>
      <c r="H102" s="16">
        <f t="shared" si="26"/>
        <v>42750000.118416905</v>
      </c>
      <c r="I102" s="16">
        <f t="shared" si="26"/>
        <v>154018218.7720499</v>
      </c>
    </row>
    <row r="103" spans="1:9">
      <c r="A103" t="s">
        <v>99</v>
      </c>
      <c r="D103" s="6">
        <f>D102/D100</f>
        <v>2.7067851198233878E-2</v>
      </c>
      <c r="E103" s="6">
        <f t="shared" ref="E103:I103" si="27">E102/E100</f>
        <v>2.2547295797330991E-2</v>
      </c>
      <c r="F103" s="6">
        <f t="shared" si="27"/>
        <v>5.8928129834239236E-2</v>
      </c>
      <c r="G103" s="6">
        <f t="shared" si="27"/>
        <v>3.9748920112771112E-2</v>
      </c>
      <c r="H103" s="6">
        <f t="shared" si="27"/>
        <v>0.10922879568417568</v>
      </c>
      <c r="I103" s="6">
        <f t="shared" si="27"/>
        <v>5.236558125386432E-2</v>
      </c>
    </row>
    <row r="105" spans="1:9">
      <c r="A105" s="2" t="s">
        <v>102</v>
      </c>
    </row>
    <row r="106" spans="1:9">
      <c r="A106" s="2" t="s">
        <v>102</v>
      </c>
    </row>
  </sheetData>
  <mergeCells count="7">
    <mergeCell ref="Q8:R8"/>
    <mergeCell ref="D8:E8"/>
    <mergeCell ref="F8:H8"/>
    <mergeCell ref="I8:J8"/>
    <mergeCell ref="K8:L8"/>
    <mergeCell ref="M8:N8"/>
    <mergeCell ref="O8:P8"/>
  </mergeCells>
  <printOptions gridLines="1"/>
  <pageMargins left="0.5" right="0.5" top="0.5" bottom="0.5" header="0.5" footer="0.5"/>
  <pageSetup scale="3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779A4-A9DC-49BA-8E15-5A94CC6986A9}">
  <dimension ref="A1:F44"/>
  <sheetViews>
    <sheetView workbookViewId="0">
      <pane xSplit="3" ySplit="2" topLeftCell="D3" activePane="bottomRight" state="frozen"/>
      <selection pane="topRight" activeCell="D1" sqref="D1"/>
      <selection pane="bottomLeft" activeCell="A2" sqref="A2"/>
      <selection pane="bottomRight" activeCell="H4" sqref="H4"/>
    </sheetView>
  </sheetViews>
  <sheetFormatPr defaultRowHeight="12.75"/>
  <cols>
    <col min="1" max="1" width="33.7109375" style="52" bestFit="1" customWidth="1"/>
    <col min="2" max="2" width="11.7109375" style="61" customWidth="1"/>
    <col min="3" max="3" width="49.7109375" style="62" customWidth="1"/>
    <col min="4" max="5" width="8.85546875" style="91"/>
    <col min="6" max="6" width="8.85546875" style="92"/>
  </cols>
  <sheetData>
    <row r="1" spans="1:6" ht="13.5" thickBot="1">
      <c r="D1" s="63" t="s">
        <v>269</v>
      </c>
      <c r="E1" s="64"/>
      <c r="F1" s="65"/>
    </row>
    <row r="2" spans="1:6" s="1" customFormat="1" ht="26.25" thickBot="1">
      <c r="B2" s="66" t="s">
        <v>177</v>
      </c>
      <c r="C2" s="67" t="s">
        <v>178</v>
      </c>
      <c r="D2" s="68" t="s">
        <v>179</v>
      </c>
      <c r="E2" s="68" t="s">
        <v>180</v>
      </c>
      <c r="F2" s="69" t="s">
        <v>105</v>
      </c>
    </row>
    <row r="3" spans="1:6" ht="25.5">
      <c r="A3" s="70" t="s">
        <v>18</v>
      </c>
      <c r="B3" s="71" t="s">
        <v>181</v>
      </c>
      <c r="C3" s="72" t="s">
        <v>182</v>
      </c>
      <c r="D3" s="73">
        <f>'Rate Summary'!B4</f>
        <v>0.30099999999999999</v>
      </c>
      <c r="E3" s="73">
        <f>'Rate Summary'!B11</f>
        <v>0.39400000000000002</v>
      </c>
      <c r="F3" s="74">
        <f>'Rate Summary'!B18</f>
        <v>0.311</v>
      </c>
    </row>
    <row r="4" spans="1:6" ht="25.5">
      <c r="A4" s="75"/>
      <c r="B4" s="76" t="s">
        <v>183</v>
      </c>
      <c r="C4" s="62" t="s">
        <v>184</v>
      </c>
      <c r="D4" s="77">
        <f>D3</f>
        <v>0.30099999999999999</v>
      </c>
      <c r="E4" s="77">
        <f t="shared" ref="E4:F4" si="0">E3</f>
        <v>0.39400000000000002</v>
      </c>
      <c r="F4" s="77">
        <f t="shared" si="0"/>
        <v>0.311</v>
      </c>
    </row>
    <row r="5" spans="1:6" ht="25.5">
      <c r="A5" s="75"/>
      <c r="B5" s="76" t="s">
        <v>185</v>
      </c>
      <c r="C5" s="62" t="s">
        <v>186</v>
      </c>
      <c r="D5" s="77">
        <f>D3</f>
        <v>0.30099999999999999</v>
      </c>
      <c r="E5" s="77">
        <f t="shared" ref="E5:F5" si="1">E3</f>
        <v>0.39400000000000002</v>
      </c>
      <c r="F5" s="77">
        <f t="shared" si="1"/>
        <v>0.311</v>
      </c>
    </row>
    <row r="6" spans="1:6" ht="25.5">
      <c r="A6" s="75"/>
      <c r="B6" s="76" t="s">
        <v>187</v>
      </c>
      <c r="C6" s="62" t="s">
        <v>188</v>
      </c>
      <c r="D6" s="77">
        <f>D3</f>
        <v>0.30099999999999999</v>
      </c>
      <c r="E6" s="77">
        <f t="shared" ref="E6:F6" si="2">E3</f>
        <v>0.39400000000000002</v>
      </c>
      <c r="F6" s="77">
        <f t="shared" si="2"/>
        <v>0.311</v>
      </c>
    </row>
    <row r="7" spans="1:6" ht="25.5">
      <c r="A7" s="75"/>
      <c r="B7" s="76" t="s">
        <v>189</v>
      </c>
      <c r="C7" s="62" t="s">
        <v>190</v>
      </c>
      <c r="D7" s="77">
        <f>D3</f>
        <v>0.30099999999999999</v>
      </c>
      <c r="E7" s="77">
        <f t="shared" ref="E7:F7" si="3">E3</f>
        <v>0.39400000000000002</v>
      </c>
      <c r="F7" s="77">
        <f t="shared" si="3"/>
        <v>0.311</v>
      </c>
    </row>
    <row r="8" spans="1:6" ht="25.5">
      <c r="A8" s="75"/>
      <c r="B8" s="76" t="s">
        <v>191</v>
      </c>
      <c r="C8" s="62" t="s">
        <v>192</v>
      </c>
      <c r="D8" s="77">
        <f>D3</f>
        <v>0.30099999999999999</v>
      </c>
      <c r="E8" s="77">
        <f t="shared" ref="E8:F8" si="4">E3</f>
        <v>0.39400000000000002</v>
      </c>
      <c r="F8" s="77">
        <f t="shared" si="4"/>
        <v>0.311</v>
      </c>
    </row>
    <row r="9" spans="1:6" ht="25.5">
      <c r="A9" s="75"/>
      <c r="B9" s="76" t="s">
        <v>193</v>
      </c>
      <c r="C9" s="62" t="s">
        <v>194</v>
      </c>
      <c r="D9" s="77">
        <f>D3</f>
        <v>0.30099999999999999</v>
      </c>
      <c r="E9" s="77">
        <f t="shared" ref="E9:F9" si="5">E3</f>
        <v>0.39400000000000002</v>
      </c>
      <c r="F9" s="77">
        <f t="shared" si="5"/>
        <v>0.311</v>
      </c>
    </row>
    <row r="10" spans="1:6" ht="26.25" thickBot="1">
      <c r="A10" s="78"/>
      <c r="B10" s="79" t="s">
        <v>195</v>
      </c>
      <c r="C10" s="80" t="s">
        <v>196</v>
      </c>
      <c r="D10" s="81">
        <f>D3</f>
        <v>0.30099999999999999</v>
      </c>
      <c r="E10" s="81">
        <f t="shared" ref="E10:F10" si="6">E3</f>
        <v>0.39400000000000002</v>
      </c>
      <c r="F10" s="81">
        <f t="shared" si="6"/>
        <v>0.311</v>
      </c>
    </row>
    <row r="11" spans="1:6" ht="26.25">
      <c r="A11" s="82" t="s">
        <v>20</v>
      </c>
      <c r="B11" s="71" t="s">
        <v>197</v>
      </c>
      <c r="C11" s="72" t="s">
        <v>198</v>
      </c>
      <c r="D11" s="73">
        <f>'Rate Summary'!B5</f>
        <v>0.38800000000000001</v>
      </c>
      <c r="E11" s="73">
        <f>'Rate Summary'!B12</f>
        <v>0.377</v>
      </c>
      <c r="F11" s="74">
        <f>'Rate Summary'!B19</f>
        <v>0.39400000000000002</v>
      </c>
    </row>
    <row r="12" spans="1:6" ht="25.5">
      <c r="A12" s="75"/>
      <c r="B12" s="76" t="s">
        <v>199</v>
      </c>
      <c r="C12" s="62" t="s">
        <v>200</v>
      </c>
      <c r="D12" s="77">
        <f>D11</f>
        <v>0.38800000000000001</v>
      </c>
      <c r="E12" s="77">
        <f t="shared" ref="E12:F12" si="7">E11</f>
        <v>0.377</v>
      </c>
      <c r="F12" s="77">
        <f t="shared" si="7"/>
        <v>0.39400000000000002</v>
      </c>
    </row>
    <row r="13" spans="1:6">
      <c r="A13" s="75"/>
      <c r="B13" s="76" t="s">
        <v>201</v>
      </c>
      <c r="C13" s="62" t="s">
        <v>202</v>
      </c>
      <c r="D13" s="77">
        <f>D11</f>
        <v>0.38800000000000001</v>
      </c>
      <c r="E13" s="77">
        <f t="shared" ref="E13:F13" si="8">E11</f>
        <v>0.377</v>
      </c>
      <c r="F13" s="77">
        <f t="shared" si="8"/>
        <v>0.39400000000000002</v>
      </c>
    </row>
    <row r="14" spans="1:6">
      <c r="A14" s="75"/>
      <c r="B14" s="76" t="s">
        <v>203</v>
      </c>
      <c r="C14" s="62" t="s">
        <v>204</v>
      </c>
      <c r="D14" s="77">
        <f>D11</f>
        <v>0.38800000000000001</v>
      </c>
      <c r="E14" s="77">
        <f t="shared" ref="E14:F14" si="9">E11</f>
        <v>0.377</v>
      </c>
      <c r="F14" s="77">
        <f t="shared" si="9"/>
        <v>0.39400000000000002</v>
      </c>
    </row>
    <row r="15" spans="1:6" ht="26.25" thickBot="1">
      <c r="A15" s="78"/>
      <c r="B15" s="79" t="s">
        <v>205</v>
      </c>
      <c r="C15" s="80" t="s">
        <v>206</v>
      </c>
      <c r="D15" s="81">
        <f>D11</f>
        <v>0.38800000000000001</v>
      </c>
      <c r="E15" s="81">
        <f t="shared" ref="E15:F15" si="10">E11</f>
        <v>0.377</v>
      </c>
      <c r="F15" s="81">
        <f t="shared" si="10"/>
        <v>0.39400000000000002</v>
      </c>
    </row>
    <row r="16" spans="1:6" ht="26.25">
      <c r="A16" s="82" t="s">
        <v>24</v>
      </c>
      <c r="B16" s="71" t="s">
        <v>207</v>
      </c>
      <c r="C16" s="72" t="s">
        <v>208</v>
      </c>
      <c r="D16" s="73">
        <f>'Rate Summary'!B6</f>
        <v>0.157</v>
      </c>
      <c r="E16" s="73">
        <f>'Rate Summary'!B13</f>
        <v>0.159</v>
      </c>
      <c r="F16" s="74">
        <f>'Rate Summary'!B20</f>
        <v>0.159</v>
      </c>
    </row>
    <row r="17" spans="1:6" ht="25.5">
      <c r="A17" s="75"/>
      <c r="B17" s="76" t="s">
        <v>209</v>
      </c>
      <c r="C17" s="62" t="s">
        <v>210</v>
      </c>
      <c r="D17" s="77">
        <f>D16</f>
        <v>0.157</v>
      </c>
      <c r="E17" s="77">
        <f t="shared" ref="E17:F17" si="11">E16</f>
        <v>0.159</v>
      </c>
      <c r="F17" s="77">
        <f t="shared" si="11"/>
        <v>0.159</v>
      </c>
    </row>
    <row r="18" spans="1:6" ht="25.5">
      <c r="A18" s="75"/>
      <c r="B18" s="76" t="s">
        <v>211</v>
      </c>
      <c r="C18" s="62" t="s">
        <v>212</v>
      </c>
      <c r="D18" s="77">
        <f>D16</f>
        <v>0.157</v>
      </c>
      <c r="E18" s="77">
        <f t="shared" ref="E18:F18" si="12">E16</f>
        <v>0.159</v>
      </c>
      <c r="F18" s="77">
        <f t="shared" si="12"/>
        <v>0.159</v>
      </c>
    </row>
    <row r="19" spans="1:6" ht="25.5">
      <c r="A19" s="75"/>
      <c r="B19" s="76" t="s">
        <v>213</v>
      </c>
      <c r="C19" s="62" t="s">
        <v>214</v>
      </c>
      <c r="D19" s="77">
        <f>D16</f>
        <v>0.157</v>
      </c>
      <c r="E19" s="77">
        <f t="shared" ref="E19:F19" si="13">E16</f>
        <v>0.159</v>
      </c>
      <c r="F19" s="77">
        <f t="shared" si="13"/>
        <v>0.159</v>
      </c>
    </row>
    <row r="20" spans="1:6" ht="25.5">
      <c r="A20" s="75"/>
      <c r="B20" s="76" t="s">
        <v>215</v>
      </c>
      <c r="C20" s="62" t="s">
        <v>216</v>
      </c>
      <c r="D20" s="77">
        <f>D16</f>
        <v>0.157</v>
      </c>
      <c r="E20" s="77">
        <f t="shared" ref="E20:F20" si="14">E16</f>
        <v>0.159</v>
      </c>
      <c r="F20" s="77">
        <f t="shared" si="14"/>
        <v>0.159</v>
      </c>
    </row>
    <row r="21" spans="1:6" ht="25.5">
      <c r="A21" s="75"/>
      <c r="B21" s="76" t="s">
        <v>217</v>
      </c>
      <c r="C21" s="62" t="s">
        <v>218</v>
      </c>
      <c r="D21" s="77">
        <f>D16</f>
        <v>0.157</v>
      </c>
      <c r="E21" s="77">
        <f t="shared" ref="E21:F21" si="15">E16</f>
        <v>0.159</v>
      </c>
      <c r="F21" s="77">
        <f t="shared" si="15"/>
        <v>0.159</v>
      </c>
    </row>
    <row r="22" spans="1:6">
      <c r="A22" s="75"/>
      <c r="B22" s="76" t="s">
        <v>219</v>
      </c>
      <c r="C22" s="62" t="s">
        <v>220</v>
      </c>
      <c r="D22" s="77">
        <f>D16</f>
        <v>0.157</v>
      </c>
      <c r="E22" s="77">
        <f t="shared" ref="E22:F22" si="16">E16</f>
        <v>0.159</v>
      </c>
      <c r="F22" s="77">
        <f t="shared" si="16"/>
        <v>0.159</v>
      </c>
    </row>
    <row r="23" spans="1:6">
      <c r="A23" s="75"/>
      <c r="B23" s="76" t="s">
        <v>221</v>
      </c>
      <c r="C23" s="62" t="s">
        <v>222</v>
      </c>
      <c r="D23" s="77">
        <f>D16</f>
        <v>0.157</v>
      </c>
      <c r="E23" s="77">
        <f t="shared" ref="E23:F23" si="17">E16</f>
        <v>0.159</v>
      </c>
      <c r="F23" s="77">
        <f t="shared" si="17"/>
        <v>0.159</v>
      </c>
    </row>
    <row r="24" spans="1:6" ht="25.5">
      <c r="A24" s="75"/>
      <c r="B24" s="76" t="s">
        <v>223</v>
      </c>
      <c r="C24" s="62" t="s">
        <v>224</v>
      </c>
      <c r="D24" s="77">
        <f>D16</f>
        <v>0.157</v>
      </c>
      <c r="E24" s="77">
        <f t="shared" ref="E24:F24" si="18">E16</f>
        <v>0.159</v>
      </c>
      <c r="F24" s="77">
        <f t="shared" si="18"/>
        <v>0.159</v>
      </c>
    </row>
    <row r="25" spans="1:6">
      <c r="A25" s="75"/>
      <c r="B25" s="76" t="s">
        <v>225</v>
      </c>
      <c r="C25" s="62" t="s">
        <v>226</v>
      </c>
      <c r="D25" s="77">
        <f>D16</f>
        <v>0.157</v>
      </c>
      <c r="E25" s="77">
        <f t="shared" ref="E25:F25" si="19">E16</f>
        <v>0.159</v>
      </c>
      <c r="F25" s="77">
        <f t="shared" si="19"/>
        <v>0.159</v>
      </c>
    </row>
    <row r="26" spans="1:6" ht="13.5" thickBot="1">
      <c r="A26" s="78"/>
      <c r="B26" s="79" t="s">
        <v>227</v>
      </c>
      <c r="C26" s="80" t="s">
        <v>228</v>
      </c>
      <c r="D26" s="81">
        <f>D16</f>
        <v>0.157</v>
      </c>
      <c r="E26" s="81">
        <f t="shared" ref="E26:F26" si="20">E16</f>
        <v>0.159</v>
      </c>
      <c r="F26" s="81">
        <f t="shared" si="20"/>
        <v>0.159</v>
      </c>
    </row>
    <row r="27" spans="1:6" ht="15">
      <c r="A27" s="82" t="s">
        <v>26</v>
      </c>
      <c r="B27" s="71" t="s">
        <v>229</v>
      </c>
      <c r="C27" s="72" t="s">
        <v>230</v>
      </c>
      <c r="D27" s="73">
        <f>'Rate Summary'!B7</f>
        <v>3.0000000000000001E-3</v>
      </c>
      <c r="E27" s="73">
        <f>'Rate Summary'!B14</f>
        <v>5.0000000000000001E-3</v>
      </c>
      <c r="F27" s="74">
        <f>'Rate Summary'!B21</f>
        <v>0.15</v>
      </c>
    </row>
    <row r="28" spans="1:6" ht="25.5">
      <c r="A28" s="75"/>
      <c r="B28" s="76" t="s">
        <v>231</v>
      </c>
      <c r="C28" s="62" t="s">
        <v>232</v>
      </c>
      <c r="D28" s="77">
        <f>D27</f>
        <v>3.0000000000000001E-3</v>
      </c>
      <c r="E28" s="77">
        <f t="shared" ref="E28:F28" si="21">E27</f>
        <v>5.0000000000000001E-3</v>
      </c>
      <c r="F28" s="77">
        <f t="shared" si="21"/>
        <v>0.15</v>
      </c>
    </row>
    <row r="29" spans="1:6">
      <c r="A29" s="75"/>
      <c r="B29" s="76" t="s">
        <v>233</v>
      </c>
      <c r="C29" s="62" t="s">
        <v>234</v>
      </c>
      <c r="D29" s="77">
        <f>D27</f>
        <v>3.0000000000000001E-3</v>
      </c>
      <c r="E29" s="77">
        <f t="shared" ref="E29:F29" si="22">E27</f>
        <v>5.0000000000000001E-3</v>
      </c>
      <c r="F29" s="77">
        <f t="shared" si="22"/>
        <v>0.15</v>
      </c>
    </row>
    <row r="30" spans="1:6">
      <c r="A30" s="75"/>
      <c r="B30" s="76" t="s">
        <v>235</v>
      </c>
      <c r="C30" s="62" t="s">
        <v>236</v>
      </c>
      <c r="D30" s="77">
        <f>D27</f>
        <v>3.0000000000000001E-3</v>
      </c>
      <c r="E30" s="77">
        <f t="shared" ref="E30:F30" si="23">E27</f>
        <v>5.0000000000000001E-3</v>
      </c>
      <c r="F30" s="77">
        <f t="shared" si="23"/>
        <v>0.15</v>
      </c>
    </row>
    <row r="31" spans="1:6">
      <c r="A31" s="75"/>
      <c r="B31" s="76" t="s">
        <v>237</v>
      </c>
      <c r="C31" s="62" t="s">
        <v>238</v>
      </c>
      <c r="D31" s="77">
        <f>D27</f>
        <v>3.0000000000000001E-3</v>
      </c>
      <c r="E31" s="77">
        <f t="shared" ref="E31:F31" si="24">E27</f>
        <v>5.0000000000000001E-3</v>
      </c>
      <c r="F31" s="77">
        <f t="shared" si="24"/>
        <v>0.15</v>
      </c>
    </row>
    <row r="32" spans="1:6" ht="26.25" thickBot="1">
      <c r="A32" s="78"/>
      <c r="B32" s="79" t="s">
        <v>239</v>
      </c>
      <c r="C32" s="80" t="s">
        <v>240</v>
      </c>
      <c r="D32" s="81">
        <f>D27</f>
        <v>3.0000000000000001E-3</v>
      </c>
      <c r="E32" s="81">
        <f t="shared" ref="E32:F32" si="25">E27</f>
        <v>5.0000000000000001E-3</v>
      </c>
      <c r="F32" s="81">
        <f t="shared" si="25"/>
        <v>0.15</v>
      </c>
    </row>
    <row r="33" spans="1:6">
      <c r="A33" s="70" t="s">
        <v>30</v>
      </c>
      <c r="B33" s="71" t="s">
        <v>241</v>
      </c>
      <c r="C33" s="72" t="s">
        <v>242</v>
      </c>
      <c r="D33" s="73">
        <f>'Rate Summary'!B8</f>
        <v>0.13200000000000001</v>
      </c>
      <c r="E33" s="73">
        <f>'Rate Summary'!B15</f>
        <v>0.13400000000000001</v>
      </c>
      <c r="F33" s="74">
        <f>F27</f>
        <v>0.15</v>
      </c>
    </row>
    <row r="34" spans="1:6">
      <c r="A34" s="75"/>
      <c r="B34" s="76" t="s">
        <v>243</v>
      </c>
      <c r="C34" s="62" t="s">
        <v>244</v>
      </c>
      <c r="D34" s="77">
        <f>D33</f>
        <v>0.13200000000000001</v>
      </c>
      <c r="E34" s="77">
        <f>E33</f>
        <v>0.13400000000000001</v>
      </c>
      <c r="F34" s="83">
        <f>F27</f>
        <v>0.15</v>
      </c>
    </row>
    <row r="35" spans="1:6">
      <c r="A35" s="75"/>
      <c r="B35" s="76" t="s">
        <v>245</v>
      </c>
      <c r="C35" s="62" t="s">
        <v>246</v>
      </c>
      <c r="D35" s="77">
        <f>D33</f>
        <v>0.13200000000000001</v>
      </c>
      <c r="E35" s="77">
        <f>E33</f>
        <v>0.13400000000000001</v>
      </c>
      <c r="F35" s="83">
        <f>F27</f>
        <v>0.15</v>
      </c>
    </row>
    <row r="36" spans="1:6" ht="13.5" thickBot="1">
      <c r="A36" s="78"/>
      <c r="B36" s="79" t="s">
        <v>247</v>
      </c>
      <c r="C36" s="80" t="s">
        <v>248</v>
      </c>
      <c r="D36" s="81">
        <f>D33</f>
        <v>0.13200000000000001</v>
      </c>
      <c r="E36" s="81">
        <f>E33</f>
        <v>0.13400000000000001</v>
      </c>
      <c r="F36" s="84">
        <f>F27</f>
        <v>0.15</v>
      </c>
    </row>
    <row r="37" spans="1:6" ht="25.5">
      <c r="A37" s="70" t="s">
        <v>111</v>
      </c>
      <c r="B37" s="71" t="s">
        <v>249</v>
      </c>
      <c r="C37" s="72" t="s">
        <v>250</v>
      </c>
      <c r="D37" s="73">
        <f>'Rate Summary'!B30</f>
        <v>0.18</v>
      </c>
      <c r="E37" s="73">
        <f>D37</f>
        <v>0.18</v>
      </c>
      <c r="F37" s="74">
        <f>F16</f>
        <v>0.159</v>
      </c>
    </row>
    <row r="38" spans="1:6" ht="26.25" thickBot="1">
      <c r="A38" s="78"/>
      <c r="B38" s="79" t="s">
        <v>251</v>
      </c>
      <c r="C38" s="80" t="s">
        <v>252</v>
      </c>
      <c r="D38" s="81">
        <f>D37</f>
        <v>0.18</v>
      </c>
      <c r="E38" s="81">
        <f>D37</f>
        <v>0.18</v>
      </c>
      <c r="F38" s="84">
        <f>F16</f>
        <v>0.159</v>
      </c>
    </row>
    <row r="39" spans="1:6">
      <c r="A39" s="70" t="s">
        <v>253</v>
      </c>
      <c r="B39" s="71" t="s">
        <v>254</v>
      </c>
      <c r="C39" s="72" t="s">
        <v>255</v>
      </c>
      <c r="D39" s="73">
        <f>'Rate Summary'!B26</f>
        <v>0.189</v>
      </c>
      <c r="E39" s="73">
        <f>D39</f>
        <v>0.189</v>
      </c>
      <c r="F39" s="74">
        <f>F16</f>
        <v>0.159</v>
      </c>
    </row>
    <row r="40" spans="1:6">
      <c r="A40" s="75"/>
      <c r="B40" s="76" t="s">
        <v>256</v>
      </c>
      <c r="C40" s="62" t="s">
        <v>257</v>
      </c>
      <c r="D40" s="77">
        <f>D39</f>
        <v>0.189</v>
      </c>
      <c r="E40" s="77">
        <f>D39</f>
        <v>0.189</v>
      </c>
      <c r="F40" s="83">
        <f>F16</f>
        <v>0.159</v>
      </c>
    </row>
    <row r="41" spans="1:6" ht="26.25" thickBot="1">
      <c r="A41" s="78"/>
      <c r="B41" s="79" t="s">
        <v>258</v>
      </c>
      <c r="C41" s="80" t="s">
        <v>259</v>
      </c>
      <c r="D41" s="81">
        <f>D39</f>
        <v>0.189</v>
      </c>
      <c r="E41" s="81">
        <f>D39</f>
        <v>0.189</v>
      </c>
      <c r="F41" s="84">
        <f>F16</f>
        <v>0.159</v>
      </c>
    </row>
    <row r="42" spans="1:6" ht="15.75" thickBot="1">
      <c r="A42" s="85" t="s">
        <v>260</v>
      </c>
      <c r="B42" s="86" t="s">
        <v>261</v>
      </c>
      <c r="C42" s="87" t="s">
        <v>262</v>
      </c>
      <c r="D42" s="88">
        <f>'Rate Summary'!B24</f>
        <v>0.14899999999999999</v>
      </c>
      <c r="E42" s="88">
        <f>D42</f>
        <v>0.14899999999999999</v>
      </c>
      <c r="F42" s="89">
        <f>F16</f>
        <v>0.159</v>
      </c>
    </row>
    <row r="43" spans="1:6" ht="13.5" thickBot="1">
      <c r="A43" s="90" t="s">
        <v>263</v>
      </c>
      <c r="B43" s="86" t="s">
        <v>264</v>
      </c>
      <c r="C43" s="87" t="s">
        <v>265</v>
      </c>
      <c r="D43" s="88">
        <f>'Rate Summary'!B25</f>
        <v>0.19900000000000001</v>
      </c>
      <c r="E43" s="88">
        <f t="shared" ref="E43:E44" si="26">D43</f>
        <v>0.19900000000000001</v>
      </c>
      <c r="F43" s="89">
        <f>F16</f>
        <v>0.159</v>
      </c>
    </row>
    <row r="44" spans="1:6" ht="13.5" thickBot="1">
      <c r="A44" s="90" t="s">
        <v>266</v>
      </c>
      <c r="B44" s="86" t="s">
        <v>267</v>
      </c>
      <c r="C44" s="87" t="s">
        <v>268</v>
      </c>
      <c r="D44" s="88">
        <f>'Rate Summary'!B27</f>
        <v>0.24299999999999999</v>
      </c>
      <c r="E44" s="88">
        <f t="shared" si="26"/>
        <v>0.24299999999999999</v>
      </c>
      <c r="F44" s="89">
        <f>F16</f>
        <v>0.159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Rate Summary</vt:lpstr>
      <vt:lpstr>Components UNIV HS &amp; FGP</vt:lpstr>
      <vt:lpstr>Distribution Univ HS &amp; FGP</vt:lpstr>
      <vt:lpstr>Components OSP</vt:lpstr>
      <vt:lpstr>Distribution OSP</vt:lpstr>
      <vt:lpstr>fy27_summary_bnft_projection</vt:lpstr>
      <vt:lpstr>Rate by Spend Cat</vt:lpstr>
    </vt:vector>
  </TitlesOfParts>
  <Company>The Ohio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Gast, Ken</dc:creator>
  <cp:lastModifiedBy>Brown, Karina</cp:lastModifiedBy>
  <dcterms:created xsi:type="dcterms:W3CDTF">2026-06-03T14:39:07Z</dcterms:created>
  <dcterms:modified xsi:type="dcterms:W3CDTF">2026-06-10T19:00:59Z</dcterms:modified>
</cp:coreProperties>
</file>