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Rates" sheetId="2" r:id="rId1"/>
    <sheet name="Components" sheetId="3" r:id="rId2"/>
    <sheet name="Distribution" sheetId="4" r:id="rId3"/>
    <sheet name="UNIV Benefit Pools and Targets" sheetId="5" r:id="rId4"/>
    <sheet name="OSP Benefit Pools and Targets" sheetId="6" r:id="rId5"/>
    <sheet name="fy16_summary_bnft_projection" sheetId="1" r:id="rId6"/>
  </sheets>
  <externalReferences>
    <externalReference r:id="rId7"/>
    <externalReference r:id="rId8"/>
  </externalReferences>
  <definedNames>
    <definedName name="_xlnm.Print_Area" localSheetId="2">Distribution!$B$1:$AE$60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8" i="4" l="1"/>
  <c r="AD58" i="4"/>
  <c r="AC58" i="4"/>
  <c r="AA58" i="4"/>
  <c r="Z58" i="4"/>
  <c r="Y58" i="4"/>
  <c r="W58" i="4"/>
  <c r="V58" i="4"/>
  <c r="U58" i="4"/>
  <c r="AE57" i="4"/>
  <c r="AD57" i="4"/>
  <c r="AC57" i="4"/>
  <c r="AB57" i="4"/>
  <c r="AB58" i="4" s="1"/>
  <c r="AA57" i="4"/>
  <c r="Z57" i="4"/>
  <c r="Y57" i="4"/>
  <c r="X57" i="4"/>
  <c r="X58" i="4" s="1"/>
  <c r="W57" i="4"/>
  <c r="V57" i="4"/>
  <c r="U57" i="4"/>
  <c r="S58" i="4"/>
  <c r="S57" i="4"/>
  <c r="AE40" i="4"/>
  <c r="AD40" i="4"/>
  <c r="AC40" i="4"/>
  <c r="AB40" i="4"/>
  <c r="AA40" i="4"/>
  <c r="Z40" i="4"/>
  <c r="Y40" i="4"/>
  <c r="X40" i="4"/>
  <c r="W40" i="4"/>
  <c r="V40" i="4"/>
  <c r="U40" i="4"/>
  <c r="S40" i="4"/>
  <c r="AD28" i="4"/>
  <c r="AB28" i="4"/>
  <c r="Z28" i="4"/>
  <c r="X28" i="4"/>
  <c r="V28" i="4"/>
  <c r="AD27" i="4"/>
  <c r="AB27" i="4"/>
  <c r="Z27" i="4"/>
  <c r="X27" i="4"/>
  <c r="V27" i="4"/>
  <c r="AD10" i="4"/>
  <c r="AB10" i="4"/>
  <c r="Z10" i="4"/>
  <c r="X10" i="4"/>
  <c r="V10" i="4"/>
  <c r="O62" i="3" l="1"/>
  <c r="M62" i="3"/>
  <c r="K62" i="3"/>
  <c r="I62" i="3"/>
  <c r="G62" i="3"/>
  <c r="E62" i="3"/>
  <c r="C62" i="3"/>
  <c r="O30" i="3"/>
  <c r="M30" i="3"/>
  <c r="K30" i="3"/>
  <c r="I30" i="3"/>
  <c r="G30" i="3"/>
  <c r="E30" i="3"/>
  <c r="C30" i="3"/>
  <c r="J50" i="4"/>
  <c r="R50" i="4" s="1"/>
  <c r="I50" i="4"/>
  <c r="Q50" i="4" s="1"/>
  <c r="H50" i="4"/>
  <c r="P50" i="4" s="1"/>
  <c r="G50" i="4"/>
  <c r="O50" i="4" s="1"/>
  <c r="F50" i="4"/>
  <c r="N50" i="4" s="1"/>
  <c r="E50" i="4"/>
  <c r="M50" i="4" s="1"/>
  <c r="D50" i="4"/>
  <c r="L50" i="4" s="1"/>
  <c r="J56" i="4"/>
  <c r="R56" i="4" s="1"/>
  <c r="I56" i="4"/>
  <c r="Q56" i="4" s="1"/>
  <c r="H56" i="4"/>
  <c r="P56" i="4" s="1"/>
  <c r="G56" i="4"/>
  <c r="O56" i="4" s="1"/>
  <c r="F56" i="4"/>
  <c r="N56" i="4" s="1"/>
  <c r="E56" i="4"/>
  <c r="M56" i="4" s="1"/>
  <c r="D56" i="4"/>
  <c r="L56" i="4" s="1"/>
  <c r="J54" i="4"/>
  <c r="R54" i="4" s="1"/>
  <c r="I54" i="4"/>
  <c r="Q54" i="4" s="1"/>
  <c r="H54" i="4"/>
  <c r="P54" i="4" s="1"/>
  <c r="G54" i="4"/>
  <c r="O54" i="4" s="1"/>
  <c r="F54" i="4"/>
  <c r="N54" i="4" s="1"/>
  <c r="E54" i="4"/>
  <c r="M54" i="4" s="1"/>
  <c r="D54" i="4"/>
  <c r="L54" i="4" s="1"/>
  <c r="J53" i="4"/>
  <c r="R53" i="4" s="1"/>
  <c r="I53" i="4"/>
  <c r="Q53" i="4" s="1"/>
  <c r="H53" i="4"/>
  <c r="P53" i="4" s="1"/>
  <c r="G53" i="4"/>
  <c r="O53" i="4" s="1"/>
  <c r="F53" i="4"/>
  <c r="N53" i="4" s="1"/>
  <c r="E53" i="4"/>
  <c r="M53" i="4" s="1"/>
  <c r="D53" i="4"/>
  <c r="L53" i="4" s="1"/>
  <c r="J49" i="4"/>
  <c r="R49" i="4" s="1"/>
  <c r="I49" i="4"/>
  <c r="Q49" i="4" s="1"/>
  <c r="H49" i="4"/>
  <c r="P49" i="4" s="1"/>
  <c r="G49" i="4"/>
  <c r="O49" i="4" s="1"/>
  <c r="F49" i="4"/>
  <c r="N49" i="4" s="1"/>
  <c r="E49" i="4"/>
  <c r="M49" i="4" s="1"/>
  <c r="D49" i="4"/>
  <c r="L49" i="4" s="1"/>
  <c r="J48" i="4"/>
  <c r="R48" i="4" s="1"/>
  <c r="I48" i="4"/>
  <c r="Q48" i="4" s="1"/>
  <c r="H48" i="4"/>
  <c r="P48" i="4" s="1"/>
  <c r="G48" i="4"/>
  <c r="O48" i="4" s="1"/>
  <c r="F48" i="4"/>
  <c r="N48" i="4" s="1"/>
  <c r="E48" i="4"/>
  <c r="M48" i="4" s="1"/>
  <c r="D48" i="4"/>
  <c r="L48" i="4" s="1"/>
  <c r="J38" i="4"/>
  <c r="R38" i="4" s="1"/>
  <c r="I38" i="4"/>
  <c r="Q38" i="4" s="1"/>
  <c r="H38" i="4"/>
  <c r="P38" i="4" s="1"/>
  <c r="G38" i="4"/>
  <c r="O38" i="4" s="1"/>
  <c r="F38" i="4"/>
  <c r="N38" i="4" s="1"/>
  <c r="E38" i="4"/>
  <c r="M38" i="4" s="1"/>
  <c r="D38" i="4"/>
  <c r="L38" i="4" s="1"/>
  <c r="J52" i="4"/>
  <c r="R52" i="4" s="1"/>
  <c r="I52" i="4"/>
  <c r="Q52" i="4" s="1"/>
  <c r="H52" i="4"/>
  <c r="P52" i="4" s="1"/>
  <c r="G52" i="4"/>
  <c r="O52" i="4" s="1"/>
  <c r="F52" i="4"/>
  <c r="N52" i="4" s="1"/>
  <c r="E52" i="4"/>
  <c r="M52" i="4" s="1"/>
  <c r="D52" i="4"/>
  <c r="L52" i="4" s="1"/>
  <c r="J44" i="4"/>
  <c r="R44" i="4" s="1"/>
  <c r="I44" i="4"/>
  <c r="Q44" i="4" s="1"/>
  <c r="H44" i="4"/>
  <c r="H47" i="4" s="1"/>
  <c r="P47" i="4" s="1"/>
  <c r="G44" i="4"/>
  <c r="G47" i="4" s="1"/>
  <c r="O47" i="4" s="1"/>
  <c r="F44" i="4"/>
  <c r="N44" i="4" s="1"/>
  <c r="E44" i="4"/>
  <c r="E47" i="4" s="1"/>
  <c r="M47" i="4" s="1"/>
  <c r="D44" i="4"/>
  <c r="D47" i="4" s="1"/>
  <c r="L47" i="4" s="1"/>
  <c r="J39" i="4"/>
  <c r="R39" i="4" s="1"/>
  <c r="I39" i="4"/>
  <c r="Q39" i="4" s="1"/>
  <c r="H39" i="4"/>
  <c r="P39" i="4" s="1"/>
  <c r="G39" i="4"/>
  <c r="O39" i="4" s="1"/>
  <c r="F39" i="4"/>
  <c r="N39" i="4" s="1"/>
  <c r="E39" i="4"/>
  <c r="M39" i="4" s="1"/>
  <c r="D39" i="4"/>
  <c r="L39" i="4" s="1"/>
  <c r="J37" i="4"/>
  <c r="R37" i="4" s="1"/>
  <c r="I37" i="4"/>
  <c r="Q37" i="4" s="1"/>
  <c r="H37" i="4"/>
  <c r="P37" i="4" s="1"/>
  <c r="G37" i="4"/>
  <c r="O37" i="4" s="1"/>
  <c r="F37" i="4"/>
  <c r="N37" i="4" s="1"/>
  <c r="E37" i="4"/>
  <c r="M37" i="4" s="1"/>
  <c r="D37" i="4"/>
  <c r="L37" i="4" s="1"/>
  <c r="R36" i="4"/>
  <c r="J36" i="4"/>
  <c r="I36" i="4"/>
  <c r="H36" i="4"/>
  <c r="G36" i="4"/>
  <c r="O36" i="4" s="1"/>
  <c r="F36" i="4"/>
  <c r="N36" i="4" s="1"/>
  <c r="E36" i="4"/>
  <c r="D36" i="4"/>
  <c r="L36" i="4" s="1"/>
  <c r="J20" i="4"/>
  <c r="R20" i="4" s="1"/>
  <c r="I20" i="4"/>
  <c r="Q20" i="4" s="1"/>
  <c r="H20" i="4"/>
  <c r="P20" i="4" s="1"/>
  <c r="G20" i="4"/>
  <c r="O20" i="4" s="1"/>
  <c r="F20" i="4"/>
  <c r="N20" i="4" s="1"/>
  <c r="E20" i="4"/>
  <c r="M20" i="4" s="1"/>
  <c r="D20" i="4"/>
  <c r="L20" i="4" s="1"/>
  <c r="J26" i="4"/>
  <c r="R26" i="4" s="1"/>
  <c r="I26" i="4"/>
  <c r="Q26" i="4" s="1"/>
  <c r="H26" i="4"/>
  <c r="P26" i="4" s="1"/>
  <c r="G26" i="4"/>
  <c r="O26" i="4" s="1"/>
  <c r="F26" i="4"/>
  <c r="N26" i="4" s="1"/>
  <c r="E26" i="4"/>
  <c r="M26" i="4" s="1"/>
  <c r="D26" i="4"/>
  <c r="L26" i="4" s="1"/>
  <c r="J24" i="4"/>
  <c r="R24" i="4" s="1"/>
  <c r="I24" i="4"/>
  <c r="Q24" i="4" s="1"/>
  <c r="H24" i="4"/>
  <c r="P24" i="4" s="1"/>
  <c r="G24" i="4"/>
  <c r="O24" i="4" s="1"/>
  <c r="F24" i="4"/>
  <c r="N24" i="4" s="1"/>
  <c r="E24" i="4"/>
  <c r="M24" i="4" s="1"/>
  <c r="D24" i="4"/>
  <c r="L24" i="4" s="1"/>
  <c r="J23" i="4"/>
  <c r="R23" i="4" s="1"/>
  <c r="I23" i="4"/>
  <c r="Q23" i="4" s="1"/>
  <c r="H23" i="4"/>
  <c r="P23" i="4" s="1"/>
  <c r="G23" i="4"/>
  <c r="O23" i="4" s="1"/>
  <c r="F23" i="4"/>
  <c r="N23" i="4" s="1"/>
  <c r="E23" i="4"/>
  <c r="M23" i="4" s="1"/>
  <c r="D23" i="4"/>
  <c r="L23" i="4" s="1"/>
  <c r="J19" i="4"/>
  <c r="R19" i="4" s="1"/>
  <c r="I19" i="4"/>
  <c r="Q19" i="4" s="1"/>
  <c r="H19" i="4"/>
  <c r="P19" i="4" s="1"/>
  <c r="G19" i="4"/>
  <c r="O19" i="4" s="1"/>
  <c r="F19" i="4"/>
  <c r="N19" i="4" s="1"/>
  <c r="E19" i="4"/>
  <c r="M19" i="4" s="1"/>
  <c r="D19" i="4"/>
  <c r="L19" i="4" s="1"/>
  <c r="J18" i="4"/>
  <c r="R18" i="4" s="1"/>
  <c r="I18" i="4"/>
  <c r="Q18" i="4" s="1"/>
  <c r="H18" i="4"/>
  <c r="P18" i="4" s="1"/>
  <c r="G18" i="4"/>
  <c r="O18" i="4" s="1"/>
  <c r="F18" i="4"/>
  <c r="N18" i="4" s="1"/>
  <c r="E18" i="4"/>
  <c r="M18" i="4" s="1"/>
  <c r="D18" i="4"/>
  <c r="L18" i="4" s="1"/>
  <c r="J8" i="4"/>
  <c r="R8" i="4" s="1"/>
  <c r="I8" i="4"/>
  <c r="Q8" i="4" s="1"/>
  <c r="H8" i="4"/>
  <c r="P8" i="4" s="1"/>
  <c r="G8" i="4"/>
  <c r="O8" i="4" s="1"/>
  <c r="F8" i="4"/>
  <c r="N8" i="4" s="1"/>
  <c r="E8" i="4"/>
  <c r="M8" i="4" s="1"/>
  <c r="D8" i="4"/>
  <c r="L8" i="4" s="1"/>
  <c r="J22" i="4"/>
  <c r="R22" i="4" s="1"/>
  <c r="I22" i="4"/>
  <c r="Q22" i="4" s="1"/>
  <c r="H22" i="4"/>
  <c r="P22" i="4" s="1"/>
  <c r="G22" i="4"/>
  <c r="O22" i="4" s="1"/>
  <c r="F22" i="4"/>
  <c r="N22" i="4" s="1"/>
  <c r="E22" i="4"/>
  <c r="M22" i="4" s="1"/>
  <c r="D22" i="4"/>
  <c r="L22" i="4" s="1"/>
  <c r="E17" i="4"/>
  <c r="M17" i="4" s="1"/>
  <c r="J14" i="4"/>
  <c r="J17" i="4" s="1"/>
  <c r="R17" i="4" s="1"/>
  <c r="I14" i="4"/>
  <c r="I17" i="4" s="1"/>
  <c r="Q17" i="4" s="1"/>
  <c r="H14" i="4"/>
  <c r="H17" i="4" s="1"/>
  <c r="P17" i="4" s="1"/>
  <c r="G14" i="4"/>
  <c r="F14" i="4"/>
  <c r="F17" i="4" s="1"/>
  <c r="N17" i="4" s="1"/>
  <c r="E14" i="4"/>
  <c r="M14" i="4" s="1"/>
  <c r="D14" i="4"/>
  <c r="L14" i="4" s="1"/>
  <c r="J9" i="4"/>
  <c r="R9" i="4" s="1"/>
  <c r="I9" i="4"/>
  <c r="Q9" i="4" s="1"/>
  <c r="H9" i="4"/>
  <c r="P9" i="4" s="1"/>
  <c r="G9" i="4"/>
  <c r="O9" i="4" s="1"/>
  <c r="F9" i="4"/>
  <c r="N9" i="4" s="1"/>
  <c r="E9" i="4"/>
  <c r="D9" i="4"/>
  <c r="L9" i="4" s="1"/>
  <c r="J7" i="4"/>
  <c r="R7" i="4" s="1"/>
  <c r="I7" i="4"/>
  <c r="H7" i="4"/>
  <c r="P7" i="4" s="1"/>
  <c r="G7" i="4"/>
  <c r="O7" i="4" s="1"/>
  <c r="F7" i="4"/>
  <c r="N7" i="4" s="1"/>
  <c r="E7" i="4"/>
  <c r="M7" i="4" s="1"/>
  <c r="D7" i="4"/>
  <c r="L7" i="4" s="1"/>
  <c r="J6" i="4"/>
  <c r="R6" i="4" s="1"/>
  <c r="I6" i="4"/>
  <c r="Q6" i="4" s="1"/>
  <c r="H6" i="4"/>
  <c r="P6" i="4" s="1"/>
  <c r="G6" i="4"/>
  <c r="O6" i="4" s="1"/>
  <c r="F6" i="4"/>
  <c r="E6" i="4"/>
  <c r="M6" i="4" s="1"/>
  <c r="D6" i="4"/>
  <c r="L6" i="4" s="1"/>
  <c r="N60" i="3"/>
  <c r="L60" i="3"/>
  <c r="J60" i="3"/>
  <c r="H60" i="3"/>
  <c r="F60" i="3"/>
  <c r="D60" i="3"/>
  <c r="O48" i="3"/>
  <c r="O16" i="3"/>
  <c r="I47" i="4" l="1"/>
  <c r="Q47" i="4" s="1"/>
  <c r="N58" i="4"/>
  <c r="J47" i="4"/>
  <c r="R47" i="4" s="1"/>
  <c r="E28" i="4"/>
  <c r="N14" i="4"/>
  <c r="P44" i="4"/>
  <c r="Q14" i="4"/>
  <c r="Q7" i="4"/>
  <c r="Q28" i="4" s="1"/>
  <c r="I28" i="4"/>
  <c r="H28" i="4"/>
  <c r="O14" i="4"/>
  <c r="O28" i="4" s="1"/>
  <c r="G17" i="4"/>
  <c r="O17" i="4" s="1"/>
  <c r="J28" i="4"/>
  <c r="I58" i="4"/>
  <c r="D58" i="4"/>
  <c r="L28" i="4"/>
  <c r="G58" i="4"/>
  <c r="D17" i="4"/>
  <c r="L17" i="4" s="1"/>
  <c r="E58" i="4"/>
  <c r="M36" i="4"/>
  <c r="Q36" i="4"/>
  <c r="Q58" i="4" s="1"/>
  <c r="N6" i="4"/>
  <c r="F28" i="4"/>
  <c r="P14" i="4"/>
  <c r="P28" i="4" s="1"/>
  <c r="R58" i="4"/>
  <c r="O44" i="4"/>
  <c r="O58" i="4" s="1"/>
  <c r="F47" i="4"/>
  <c r="P36" i="4"/>
  <c r="H58" i="4"/>
  <c r="M9" i="4"/>
  <c r="M28" i="4" s="1"/>
  <c r="R14" i="4"/>
  <c r="R28" i="4" s="1"/>
  <c r="L44" i="4"/>
  <c r="L58" i="4" s="1"/>
  <c r="M44" i="4"/>
  <c r="P58" i="4" l="1"/>
  <c r="J58" i="4"/>
  <c r="M58" i="4"/>
  <c r="G28" i="4"/>
  <c r="N28" i="4"/>
  <c r="D28" i="4"/>
  <c r="N47" i="4"/>
  <c r="F58" i="4"/>
  <c r="E81" i="1" l="1"/>
  <c r="D81" i="1"/>
  <c r="D80" i="1"/>
  <c r="E80" i="1" s="1"/>
  <c r="D79" i="1"/>
  <c r="H71" i="1"/>
  <c r="G71" i="1"/>
  <c r="F71" i="1"/>
  <c r="E71" i="1"/>
  <c r="D71" i="1"/>
  <c r="G62" i="1"/>
  <c r="G61" i="1"/>
  <c r="D61" i="1"/>
  <c r="G56" i="1"/>
  <c r="G49" i="1"/>
  <c r="G63" i="1" s="1"/>
  <c r="F49" i="1"/>
  <c r="F52" i="1" s="1"/>
  <c r="E49" i="1"/>
  <c r="E52" i="1" s="1"/>
  <c r="D49" i="1"/>
  <c r="D59" i="1" s="1"/>
  <c r="L43" i="1"/>
  <c r="O36" i="1"/>
  <c r="U33" i="1"/>
  <c r="C33" i="1"/>
  <c r="I33" i="1" s="1"/>
  <c r="G59" i="3" s="1"/>
  <c r="U32" i="1"/>
  <c r="C32" i="1"/>
  <c r="U31" i="1"/>
  <c r="C31" i="1"/>
  <c r="N31" i="1" s="1"/>
  <c r="M24" i="3" s="1"/>
  <c r="U30" i="1"/>
  <c r="N30" i="1"/>
  <c r="C30" i="1"/>
  <c r="U29" i="1"/>
  <c r="C29" i="1"/>
  <c r="U28" i="1"/>
  <c r="N28" i="1"/>
  <c r="M17" i="3" s="1"/>
  <c r="C28" i="1"/>
  <c r="U27" i="1"/>
  <c r="C27" i="1"/>
  <c r="P27" i="1" s="1"/>
  <c r="U26" i="1"/>
  <c r="M26" i="1"/>
  <c r="K50" i="3" s="1"/>
  <c r="C26" i="1"/>
  <c r="C25" i="1"/>
  <c r="U24" i="1"/>
  <c r="C24" i="1"/>
  <c r="U23" i="1"/>
  <c r="C23" i="1"/>
  <c r="D23" i="1" s="1"/>
  <c r="U22" i="1"/>
  <c r="C22" i="1"/>
  <c r="U21" i="1"/>
  <c r="C21" i="1"/>
  <c r="H21" i="1" s="1"/>
  <c r="U20" i="1"/>
  <c r="C20" i="1"/>
  <c r="U19" i="1"/>
  <c r="C19" i="1"/>
  <c r="U18" i="1"/>
  <c r="C18" i="1"/>
  <c r="D18" i="1" s="1"/>
  <c r="N15" i="1"/>
  <c r="I15" i="1"/>
  <c r="H15" i="1"/>
  <c r="G15" i="1"/>
  <c r="F15" i="1"/>
  <c r="F32" i="1" s="1"/>
  <c r="E15" i="1"/>
  <c r="E32" i="1" s="1"/>
  <c r="C58" i="3" s="1"/>
  <c r="D15" i="1"/>
  <c r="D30" i="1" s="1"/>
  <c r="Q13" i="1"/>
  <c r="Q27" i="1" s="1"/>
  <c r="O57" i="3" s="1"/>
  <c r="P13" i="1"/>
  <c r="O13" i="1"/>
  <c r="N13" i="1"/>
  <c r="N43" i="1" s="1"/>
  <c r="M13" i="1"/>
  <c r="L13" i="1"/>
  <c r="L26" i="1" s="1"/>
  <c r="K13" i="1"/>
  <c r="J13" i="1"/>
  <c r="I13" i="1"/>
  <c r="I26" i="1" s="1"/>
  <c r="H13" i="1"/>
  <c r="H26" i="1" s="1"/>
  <c r="F60" i="1" s="1"/>
  <c r="G13" i="1"/>
  <c r="F13" i="1"/>
  <c r="E13" i="1"/>
  <c r="D13" i="1"/>
  <c r="D43" i="1" s="1"/>
  <c r="V5" i="1"/>
  <c r="K18" i="3" l="1"/>
  <c r="M56" i="3"/>
  <c r="C8" i="3"/>
  <c r="I25" i="1"/>
  <c r="G54" i="3" s="1"/>
  <c r="F55" i="1"/>
  <c r="C25" i="3"/>
  <c r="E8" i="3"/>
  <c r="E66" i="1"/>
  <c r="E26" i="3" s="1"/>
  <c r="L24" i="1"/>
  <c r="K22" i="3" s="1"/>
  <c r="D26" i="1"/>
  <c r="D60" i="1" s="1"/>
  <c r="H33" i="1"/>
  <c r="E23" i="1"/>
  <c r="C53" i="3" s="1"/>
  <c r="C57" i="3"/>
  <c r="C41" i="3"/>
  <c r="M25" i="1"/>
  <c r="K57" i="3"/>
  <c r="K49" i="3"/>
  <c r="K41" i="3"/>
  <c r="K56" i="3"/>
  <c r="K42" i="3"/>
  <c r="K55" i="3"/>
  <c r="K52" i="3"/>
  <c r="K59" i="3"/>
  <c r="K40" i="3"/>
  <c r="K53" i="3"/>
  <c r="K51" i="3"/>
  <c r="K58" i="3"/>
  <c r="D22" i="1"/>
  <c r="E26" i="1"/>
  <c r="C50" i="3" s="1"/>
  <c r="G64" i="1"/>
  <c r="I23" i="3" s="1"/>
  <c r="M22" i="3"/>
  <c r="M25" i="3"/>
  <c r="H4" i="1"/>
  <c r="H6" i="1" s="1"/>
  <c r="E22" i="1"/>
  <c r="C52" i="3" s="1"/>
  <c r="E30" i="1"/>
  <c r="C55" i="3" s="1"/>
  <c r="D53" i="1"/>
  <c r="C9" i="3" s="1"/>
  <c r="G65" i="1"/>
  <c r="I24" i="3" s="1"/>
  <c r="Q26" i="1"/>
  <c r="O50" i="3" s="1"/>
  <c r="O51" i="3"/>
  <c r="O49" i="3"/>
  <c r="O55" i="3"/>
  <c r="O53" i="3"/>
  <c r="O52" i="3"/>
  <c r="O59" i="3"/>
  <c r="O58" i="3"/>
  <c r="O42" i="3"/>
  <c r="O56" i="3"/>
  <c r="O41" i="3"/>
  <c r="O40" i="3"/>
  <c r="J18" i="1"/>
  <c r="G23" i="1"/>
  <c r="E53" i="3" s="1"/>
  <c r="I25" i="3"/>
  <c r="F31" i="1"/>
  <c r="I19" i="1"/>
  <c r="G41" i="3" s="1"/>
  <c r="F23" i="1"/>
  <c r="D4" i="1"/>
  <c r="D6" i="1" s="1"/>
  <c r="G26" i="1"/>
  <c r="E50" i="3" s="1"/>
  <c r="E57" i="3"/>
  <c r="E40" i="3"/>
  <c r="I31" i="1"/>
  <c r="G56" i="3" s="1"/>
  <c r="D20" i="1"/>
  <c r="I22" i="1"/>
  <c r="G52" i="3" s="1"/>
  <c r="E25" i="1"/>
  <c r="C54" i="3" s="1"/>
  <c r="E28" i="1"/>
  <c r="C49" i="3" s="1"/>
  <c r="F30" i="1"/>
  <c r="O38" i="1"/>
  <c r="G53" i="1"/>
  <c r="I9" i="3" s="1"/>
  <c r="G66" i="1"/>
  <c r="I21" i="1"/>
  <c r="G51" i="3" s="1"/>
  <c r="G57" i="3"/>
  <c r="G40" i="3"/>
  <c r="M14" i="3"/>
  <c r="M12" i="3"/>
  <c r="M13" i="3"/>
  <c r="M11" i="3"/>
  <c r="M15" i="3"/>
  <c r="M49" i="3"/>
  <c r="K27" i="3"/>
  <c r="K24" i="3"/>
  <c r="K23" i="3"/>
  <c r="K26" i="3"/>
  <c r="K25" i="3"/>
  <c r="K18" i="1"/>
  <c r="I40" i="3" s="1"/>
  <c r="Q25" i="1"/>
  <c r="O54" i="3" s="1"/>
  <c r="D33" i="1"/>
  <c r="C27" i="3" s="1"/>
  <c r="K25" i="1"/>
  <c r="I54" i="3" s="1"/>
  <c r="I56" i="3"/>
  <c r="I41" i="3"/>
  <c r="I58" i="3"/>
  <c r="I57" i="3"/>
  <c r="I55" i="3"/>
  <c r="I59" i="3"/>
  <c r="I52" i="3"/>
  <c r="I51" i="3"/>
  <c r="I49" i="3"/>
  <c r="U36" i="1"/>
  <c r="E33" i="1"/>
  <c r="C59" i="3" s="1"/>
  <c r="G31" i="1"/>
  <c r="E56" i="3" s="1"/>
  <c r="E4" i="1"/>
  <c r="E6" i="1" s="1"/>
  <c r="H22" i="1"/>
  <c r="P43" i="1"/>
  <c r="N33" i="1"/>
  <c r="M27" i="3" s="1"/>
  <c r="G20" i="1"/>
  <c r="E42" i="3" s="1"/>
  <c r="G25" i="1"/>
  <c r="F28" i="1"/>
  <c r="I30" i="1"/>
  <c r="G55" i="3" s="1"/>
  <c r="E79" i="1"/>
  <c r="D54" i="1"/>
  <c r="D52" i="1"/>
  <c r="D57" i="1"/>
  <c r="C21" i="3" s="1"/>
  <c r="D64" i="1"/>
  <c r="C23" i="3" s="1"/>
  <c r="L36" i="1"/>
  <c r="G32" i="1"/>
  <c r="E58" i="3" s="1"/>
  <c r="E59" i="1"/>
  <c r="D24" i="1"/>
  <c r="H29" i="1"/>
  <c r="F43" i="1"/>
  <c r="F59" i="1"/>
  <c r="I20" i="1"/>
  <c r="E21" i="1"/>
  <c r="C51" i="3" s="1"/>
  <c r="I23" i="1"/>
  <c r="F24" i="1"/>
  <c r="J26" i="1"/>
  <c r="D28" i="1"/>
  <c r="I29" i="1"/>
  <c r="G50" i="3" s="1"/>
  <c r="G30" i="1"/>
  <c r="D31" i="1"/>
  <c r="I32" i="1"/>
  <c r="G58" i="3" s="1"/>
  <c r="F33" i="1"/>
  <c r="H43" i="1"/>
  <c r="G8" i="3" s="1"/>
  <c r="G59" i="1"/>
  <c r="E61" i="1"/>
  <c r="G29" i="1"/>
  <c r="H20" i="1"/>
  <c r="D21" i="1"/>
  <c r="H23" i="1"/>
  <c r="H32" i="1"/>
  <c r="F4" i="1"/>
  <c r="F6" i="1" s="1"/>
  <c r="J20" i="1"/>
  <c r="F21" i="1"/>
  <c r="J23" i="1"/>
  <c r="H24" i="1"/>
  <c r="K26" i="1"/>
  <c r="N29" i="1"/>
  <c r="M18" i="3" s="1"/>
  <c r="H30" i="1"/>
  <c r="E31" i="1"/>
  <c r="C56" i="3" s="1"/>
  <c r="N32" i="1"/>
  <c r="M26" i="3" s="1"/>
  <c r="G33" i="1"/>
  <c r="E59" i="3" s="1"/>
  <c r="J43" i="1"/>
  <c r="I27" i="3" s="1"/>
  <c r="F61" i="1"/>
  <c r="S13" i="1"/>
  <c r="K20" i="1"/>
  <c r="I42" i="3" s="1"/>
  <c r="K23" i="1"/>
  <c r="I53" i="3" s="1"/>
  <c r="F19" i="1"/>
  <c r="D29" i="1"/>
  <c r="D32" i="1"/>
  <c r="I4" i="1"/>
  <c r="I6" i="1" s="1"/>
  <c r="E18" i="1"/>
  <c r="C40" i="3" s="1"/>
  <c r="G19" i="1"/>
  <c r="E20" i="1"/>
  <c r="C42" i="3" s="1"/>
  <c r="G22" i="1"/>
  <c r="E52" i="3" s="1"/>
  <c r="P24" i="1"/>
  <c r="F26" i="1"/>
  <c r="P26" i="1"/>
  <c r="S27" i="1"/>
  <c r="V27" i="1" s="1"/>
  <c r="H28" i="1"/>
  <c r="E29" i="1"/>
  <c r="H31" i="1"/>
  <c r="G55" i="1"/>
  <c r="I19" i="3" s="1"/>
  <c r="G4" i="1"/>
  <c r="G6" i="1" s="1"/>
  <c r="G21" i="1"/>
  <c r="E51" i="3" s="1"/>
  <c r="J24" i="1"/>
  <c r="F22" i="1"/>
  <c r="G28" i="1"/>
  <c r="E49" i="3" s="1"/>
  <c r="H19" i="1"/>
  <c r="F20" i="1"/>
  <c r="I28" i="1"/>
  <c r="G49" i="3" s="1"/>
  <c r="F29" i="1"/>
  <c r="G54" i="1" l="1"/>
  <c r="I10" i="3" s="1"/>
  <c r="M16" i="3"/>
  <c r="AE54" i="4"/>
  <c r="E63" i="1"/>
  <c r="E18" i="3"/>
  <c r="F65" i="1"/>
  <c r="G24" i="3" s="1"/>
  <c r="D56" i="1"/>
  <c r="C20" i="3" s="1"/>
  <c r="G36" i="1"/>
  <c r="G38" i="1" s="1"/>
  <c r="E41" i="3"/>
  <c r="K36" i="1"/>
  <c r="K38" i="1" s="1"/>
  <c r="I50" i="3"/>
  <c r="C19" i="3"/>
  <c r="C24" i="3"/>
  <c r="I36" i="1"/>
  <c r="I38" i="1" s="1"/>
  <c r="G42" i="3"/>
  <c r="Q36" i="1"/>
  <c r="Q38" i="1" s="1"/>
  <c r="F56" i="1"/>
  <c r="G20" i="3"/>
  <c r="E57" i="1"/>
  <c r="E21" i="3" s="1"/>
  <c r="I20" i="3"/>
  <c r="AE38" i="4"/>
  <c r="G27" i="3"/>
  <c r="N36" i="1"/>
  <c r="E9" i="3"/>
  <c r="E58" i="1"/>
  <c r="E22" i="3" s="1"/>
  <c r="F66" i="1"/>
  <c r="G26" i="3"/>
  <c r="S23" i="1"/>
  <c r="V23" i="1" s="1"/>
  <c r="G53" i="3"/>
  <c r="E54" i="1"/>
  <c r="E10" i="3"/>
  <c r="F57" i="1"/>
  <c r="G21" i="3"/>
  <c r="S20" i="1"/>
  <c r="V20" i="1" s="1"/>
  <c r="C43" i="3"/>
  <c r="C45" i="3"/>
  <c r="C44" i="3"/>
  <c r="C47" i="3"/>
  <c r="C46" i="3"/>
  <c r="E45" i="3"/>
  <c r="E44" i="3"/>
  <c r="E43" i="3"/>
  <c r="E60" i="3" s="1"/>
  <c r="E46" i="3"/>
  <c r="E47" i="3"/>
  <c r="F62" i="1"/>
  <c r="G17" i="3"/>
  <c r="C60" i="3"/>
  <c r="S38" i="4" s="1"/>
  <c r="G25" i="3"/>
  <c r="F58" i="1"/>
  <c r="G22" i="3"/>
  <c r="F54" i="1"/>
  <c r="G10" i="3"/>
  <c r="S30" i="1"/>
  <c r="V30" i="1" s="1"/>
  <c r="E55" i="3"/>
  <c r="AE48" i="4"/>
  <c r="M58" i="3"/>
  <c r="M54" i="3"/>
  <c r="S54" i="4"/>
  <c r="S33" i="1"/>
  <c r="V33" i="1" s="1"/>
  <c r="E27" i="3"/>
  <c r="I44" i="3"/>
  <c r="I45" i="3"/>
  <c r="I43" i="3"/>
  <c r="I47" i="3"/>
  <c r="I46" i="3"/>
  <c r="M50" i="3"/>
  <c r="G19" i="3"/>
  <c r="E56" i="1"/>
  <c r="E20" i="3"/>
  <c r="G57" i="1"/>
  <c r="I21" i="3"/>
  <c r="J36" i="1"/>
  <c r="M47" i="3"/>
  <c r="M46" i="3"/>
  <c r="M45" i="3"/>
  <c r="M44" i="3"/>
  <c r="M43" i="3"/>
  <c r="M48" i="3" s="1"/>
  <c r="C10" i="3"/>
  <c r="I17" i="3"/>
  <c r="O60" i="3"/>
  <c r="AE36" i="4" s="1"/>
  <c r="K47" i="3"/>
  <c r="K46" i="3"/>
  <c r="K45" i="3"/>
  <c r="K44" i="3"/>
  <c r="K43" i="3"/>
  <c r="K60" i="3" s="1"/>
  <c r="G60" i="1"/>
  <c r="I18" i="3"/>
  <c r="S25" i="1"/>
  <c r="V25" i="1" s="1"/>
  <c r="E54" i="3"/>
  <c r="AE52" i="4"/>
  <c r="M36" i="1"/>
  <c r="M38" i="1" s="1"/>
  <c r="K54" i="3"/>
  <c r="P36" i="1"/>
  <c r="P38" i="1" s="1"/>
  <c r="G43" i="3"/>
  <c r="G47" i="3"/>
  <c r="G46" i="3"/>
  <c r="G45" i="3"/>
  <c r="G44" i="3"/>
  <c r="F64" i="1"/>
  <c r="G23" i="3"/>
  <c r="M59" i="3"/>
  <c r="E64" i="1"/>
  <c r="E23" i="3"/>
  <c r="O10" i="3"/>
  <c r="O8" i="3"/>
  <c r="O27" i="3"/>
  <c r="O19" i="3"/>
  <c r="O17" i="3"/>
  <c r="O9" i="3"/>
  <c r="O24" i="3"/>
  <c r="O23" i="3"/>
  <c r="O21" i="3"/>
  <c r="O20" i="3"/>
  <c r="O26" i="3"/>
  <c r="G58" i="1"/>
  <c r="I22" i="3"/>
  <c r="C26" i="3"/>
  <c r="E55" i="1"/>
  <c r="E19" i="3" s="1"/>
  <c r="E25" i="3"/>
  <c r="F63" i="1"/>
  <c r="G18" i="3"/>
  <c r="G52" i="1"/>
  <c r="E62" i="1"/>
  <c r="E17" i="3"/>
  <c r="I26" i="3"/>
  <c r="E65" i="1"/>
  <c r="E24" i="3"/>
  <c r="AE37" i="4"/>
  <c r="AE47" i="4"/>
  <c r="M57" i="3"/>
  <c r="H36" i="1"/>
  <c r="F53" i="1"/>
  <c r="S21" i="1"/>
  <c r="V21" i="1" s="1"/>
  <c r="D55" i="1"/>
  <c r="J38" i="1"/>
  <c r="D65" i="1"/>
  <c r="S31" i="1"/>
  <c r="V31" i="1" s="1"/>
  <c r="S22" i="1"/>
  <c r="V22" i="1" s="1"/>
  <c r="N41" i="1"/>
  <c r="N38" i="1"/>
  <c r="S32" i="1"/>
  <c r="V32" i="1" s="1"/>
  <c r="D66" i="1"/>
  <c r="E60" i="1"/>
  <c r="S26" i="1"/>
  <c r="V26" i="1" s="1"/>
  <c r="S29" i="1"/>
  <c r="D63" i="1"/>
  <c r="C18" i="3" s="1"/>
  <c r="L41" i="1"/>
  <c r="F79" i="1"/>
  <c r="L38" i="1"/>
  <c r="E36" i="1"/>
  <c r="E38" i="1" s="1"/>
  <c r="F36" i="1"/>
  <c r="E53" i="1"/>
  <c r="S19" i="1"/>
  <c r="V19" i="1" s="1"/>
  <c r="D62" i="1"/>
  <c r="S28" i="1"/>
  <c r="V28" i="1" s="1"/>
  <c r="D36" i="1"/>
  <c r="S24" i="1"/>
  <c r="V24" i="1" s="1"/>
  <c r="D58" i="1"/>
  <c r="C22" i="3" s="1"/>
  <c r="S18" i="1"/>
  <c r="V18" i="1" s="1"/>
  <c r="D69" i="1" l="1"/>
  <c r="C17" i="3"/>
  <c r="K63" i="3"/>
  <c r="AA55" i="4"/>
  <c r="AA39" i="4"/>
  <c r="AA48" i="4"/>
  <c r="AA51" i="4"/>
  <c r="AA47" i="4"/>
  <c r="AA36" i="4"/>
  <c r="AA38" i="4"/>
  <c r="AA50" i="4"/>
  <c r="AA54" i="4"/>
  <c r="AA37" i="4"/>
  <c r="AA53" i="4"/>
  <c r="AA56" i="4"/>
  <c r="AA52" i="4"/>
  <c r="E15" i="3"/>
  <c r="E11" i="3"/>
  <c r="E14" i="3"/>
  <c r="E12" i="3"/>
  <c r="E13" i="3"/>
  <c r="E63" i="3"/>
  <c r="U48" i="4"/>
  <c r="U39" i="4"/>
  <c r="U54" i="4"/>
  <c r="U55" i="4"/>
  <c r="U52" i="4"/>
  <c r="U50" i="4"/>
  <c r="U51" i="4"/>
  <c r="U56" i="4"/>
  <c r="U38" i="4"/>
  <c r="U36" i="4"/>
  <c r="U47" i="4"/>
  <c r="U53" i="4"/>
  <c r="AA49" i="4"/>
  <c r="AA43" i="4"/>
  <c r="AE53" i="4"/>
  <c r="AE50" i="4"/>
  <c r="S43" i="4"/>
  <c r="AA42" i="4"/>
  <c r="Y41" i="4"/>
  <c r="C63" i="3"/>
  <c r="S51" i="4"/>
  <c r="AA45" i="4"/>
  <c r="I60" i="3"/>
  <c r="S55" i="4"/>
  <c r="G11" i="3"/>
  <c r="G13" i="3"/>
  <c r="G15" i="3"/>
  <c r="G12" i="3"/>
  <c r="G14" i="3"/>
  <c r="G60" i="3"/>
  <c r="W43" i="4" s="1"/>
  <c r="E69" i="1"/>
  <c r="F41" i="1" s="1"/>
  <c r="G69" i="1"/>
  <c r="J41" i="1" s="1"/>
  <c r="W44" i="4"/>
  <c r="G48" i="3"/>
  <c r="S53" i="4"/>
  <c r="S39" i="4"/>
  <c r="S45" i="4"/>
  <c r="F80" i="1"/>
  <c r="G80" i="1" s="1"/>
  <c r="H80" i="1" s="1"/>
  <c r="Y45" i="4"/>
  <c r="U43" i="4"/>
  <c r="I8" i="3"/>
  <c r="AE51" i="4"/>
  <c r="Y43" i="4"/>
  <c r="U45" i="4"/>
  <c r="S41" i="4"/>
  <c r="U37" i="4"/>
  <c r="S37" i="4"/>
  <c r="U42" i="4"/>
  <c r="F69" i="1"/>
  <c r="S48" i="4"/>
  <c r="W48" i="4"/>
  <c r="S52" i="4"/>
  <c r="S47" i="4"/>
  <c r="K48" i="3"/>
  <c r="AA44" i="4"/>
  <c r="AE49" i="4"/>
  <c r="AE44" i="4"/>
  <c r="AE45" i="4"/>
  <c r="O63" i="3"/>
  <c r="AE43" i="4"/>
  <c r="AE42" i="4"/>
  <c r="AE41" i="4"/>
  <c r="AE56" i="4"/>
  <c r="I48" i="3"/>
  <c r="Y44" i="4"/>
  <c r="AE39" i="4"/>
  <c r="E48" i="3"/>
  <c r="U44" i="4"/>
  <c r="S42" i="4"/>
  <c r="S56" i="4"/>
  <c r="AE55" i="4"/>
  <c r="S50" i="4"/>
  <c r="U49" i="4"/>
  <c r="AA41" i="4"/>
  <c r="I15" i="3"/>
  <c r="I14" i="3"/>
  <c r="I11" i="3"/>
  <c r="I13" i="3"/>
  <c r="I12" i="3"/>
  <c r="Y42" i="4"/>
  <c r="S36" i="4"/>
  <c r="U41" i="4"/>
  <c r="C48" i="3"/>
  <c r="S44" i="4"/>
  <c r="S49" i="4"/>
  <c r="W39" i="4"/>
  <c r="G9" i="3"/>
  <c r="F38" i="1"/>
  <c r="H38" i="1"/>
  <c r="H41" i="1"/>
  <c r="D38" i="1"/>
  <c r="D41" i="1"/>
  <c r="S36" i="1"/>
  <c r="V36" i="1" s="1"/>
  <c r="F81" i="1"/>
  <c r="G79" i="1"/>
  <c r="H79" i="1" s="1"/>
  <c r="H81" i="1" s="1"/>
  <c r="I81" i="1" s="1"/>
  <c r="H49" i="1" s="1"/>
  <c r="S60" i="4" l="1"/>
  <c r="AE60" i="4"/>
  <c r="I16" i="3"/>
  <c r="G28" i="3"/>
  <c r="W15" i="4" s="1"/>
  <c r="Y46" i="4"/>
  <c r="AA60" i="4"/>
  <c r="AE46" i="4"/>
  <c r="S46" i="4"/>
  <c r="W42" i="4"/>
  <c r="U46" i="4"/>
  <c r="AA46" i="4"/>
  <c r="I28" i="3"/>
  <c r="Y6" i="4"/>
  <c r="C15" i="3"/>
  <c r="C11" i="3"/>
  <c r="C12" i="3"/>
  <c r="C13" i="3"/>
  <c r="C14" i="3"/>
  <c r="W12" i="4"/>
  <c r="W45" i="4"/>
  <c r="E16" i="3"/>
  <c r="W13" i="4"/>
  <c r="Y13" i="4"/>
  <c r="G16" i="3"/>
  <c r="G63" i="3"/>
  <c r="W50" i="4"/>
  <c r="W55" i="4"/>
  <c r="W51" i="4"/>
  <c r="W56" i="4"/>
  <c r="W49" i="4"/>
  <c r="W38" i="4"/>
  <c r="W47" i="4"/>
  <c r="W37" i="4"/>
  <c r="W53" i="4"/>
  <c r="W54" i="4"/>
  <c r="W36" i="4"/>
  <c r="W52" i="4"/>
  <c r="Y38" i="4"/>
  <c r="I63" i="3"/>
  <c r="Y37" i="4"/>
  <c r="Y50" i="4"/>
  <c r="Y56" i="4"/>
  <c r="Y39" i="4"/>
  <c r="Y53" i="4"/>
  <c r="Y36" i="4"/>
  <c r="Y49" i="4"/>
  <c r="Y48" i="4"/>
  <c r="Y52" i="4"/>
  <c r="Y51" i="4"/>
  <c r="Y54" i="4"/>
  <c r="Y47" i="4"/>
  <c r="W41" i="4"/>
  <c r="E28" i="3"/>
  <c r="Y55" i="4"/>
  <c r="U60" i="4"/>
  <c r="H55" i="1"/>
  <c r="H53" i="1"/>
  <c r="H64" i="1"/>
  <c r="M23" i="3" s="1"/>
  <c r="H56" i="1"/>
  <c r="H59" i="1"/>
  <c r="H54" i="1"/>
  <c r="H57" i="1"/>
  <c r="H52" i="1"/>
  <c r="H61" i="1"/>
  <c r="O25" i="3" s="1"/>
  <c r="H58" i="1"/>
  <c r="O22" i="3" s="1"/>
  <c r="H60" i="1"/>
  <c r="H65" i="1"/>
  <c r="H62" i="1"/>
  <c r="K17" i="3" s="1"/>
  <c r="H63" i="1"/>
  <c r="H66" i="1"/>
  <c r="W46" i="4" l="1"/>
  <c r="E31" i="3"/>
  <c r="U21" i="4"/>
  <c r="U6" i="4"/>
  <c r="U22" i="4"/>
  <c r="U20" i="4"/>
  <c r="U25" i="4"/>
  <c r="U26" i="4"/>
  <c r="U18" i="4"/>
  <c r="U24" i="4"/>
  <c r="U23" i="4"/>
  <c r="U17" i="4"/>
  <c r="U19" i="4"/>
  <c r="U7" i="4"/>
  <c r="U8" i="4"/>
  <c r="U9" i="4"/>
  <c r="Y22" i="4"/>
  <c r="I31" i="3"/>
  <c r="Y23" i="4"/>
  <c r="Y7" i="4"/>
  <c r="Y20" i="4"/>
  <c r="Y26" i="4"/>
  <c r="Y24" i="4"/>
  <c r="Y19" i="4"/>
  <c r="Y8" i="4"/>
  <c r="Y18" i="4"/>
  <c r="Y9" i="4"/>
  <c r="Y21" i="4"/>
  <c r="Y25" i="4"/>
  <c r="Y17" i="4"/>
  <c r="K9" i="3"/>
  <c r="M9" i="3"/>
  <c r="M19" i="3"/>
  <c r="K19" i="3"/>
  <c r="W7" i="4"/>
  <c r="M8" i="3"/>
  <c r="K8" i="3"/>
  <c r="U11" i="4"/>
  <c r="S12" i="4"/>
  <c r="U15" i="4"/>
  <c r="K20" i="3"/>
  <c r="M20" i="3"/>
  <c r="M55" i="3"/>
  <c r="Y15" i="4"/>
  <c r="W60" i="4"/>
  <c r="G31" i="3"/>
  <c r="W6" i="4"/>
  <c r="W26" i="4"/>
  <c r="W24" i="4"/>
  <c r="W18" i="4"/>
  <c r="W9" i="4"/>
  <c r="W8" i="4"/>
  <c r="W25" i="4"/>
  <c r="W20" i="4"/>
  <c r="W22" i="4"/>
  <c r="W17" i="4"/>
  <c r="W19" i="4"/>
  <c r="W23" i="4"/>
  <c r="W21" i="4"/>
  <c r="K21" i="3"/>
  <c r="M21" i="3"/>
  <c r="Y11" i="4"/>
  <c r="S11" i="4"/>
  <c r="Y14" i="4"/>
  <c r="Y60" i="4"/>
  <c r="Y12" i="4"/>
  <c r="U12" i="4"/>
  <c r="O18" i="3"/>
  <c r="K10" i="3"/>
  <c r="M10" i="3"/>
  <c r="W11" i="4"/>
  <c r="W14" i="4"/>
  <c r="C16" i="3"/>
  <c r="C28" i="3"/>
  <c r="S14" i="4" s="1"/>
  <c r="U14" i="4"/>
  <c r="K11" i="3"/>
  <c r="K12" i="3"/>
  <c r="K15" i="3"/>
  <c r="K14" i="3"/>
  <c r="K13" i="3"/>
  <c r="U13" i="4"/>
  <c r="S13" i="4"/>
  <c r="H69" i="1"/>
  <c r="P41" i="1" s="1"/>
  <c r="Y27" i="4" l="1"/>
  <c r="U27" i="4"/>
  <c r="W16" i="4"/>
  <c r="Y10" i="4"/>
  <c r="U10" i="4"/>
  <c r="W27" i="4"/>
  <c r="W10" i="4"/>
  <c r="M42" i="3"/>
  <c r="U16" i="4"/>
  <c r="M53" i="3"/>
  <c r="AC18" i="4"/>
  <c r="AA12" i="4"/>
  <c r="AA18" i="4"/>
  <c r="M40" i="3"/>
  <c r="M28" i="3"/>
  <c r="AC6" i="4" s="1"/>
  <c r="O28" i="3"/>
  <c r="C31" i="3"/>
  <c r="S23" i="4"/>
  <c r="S18" i="4"/>
  <c r="S7" i="4"/>
  <c r="S26" i="4"/>
  <c r="S20" i="4"/>
  <c r="S6" i="4"/>
  <c r="S21" i="4"/>
  <c r="S8" i="4"/>
  <c r="S25" i="4"/>
  <c r="S22" i="4"/>
  <c r="S19" i="4"/>
  <c r="S24" i="4"/>
  <c r="S9" i="4"/>
  <c r="S17" i="4"/>
  <c r="S15" i="4"/>
  <c r="S16" i="4" s="1"/>
  <c r="K28" i="3"/>
  <c r="AA7" i="4" s="1"/>
  <c r="AA6" i="4"/>
  <c r="AA15" i="4"/>
  <c r="M41" i="3"/>
  <c r="AC7" i="4"/>
  <c r="AA9" i="4"/>
  <c r="AA11" i="4"/>
  <c r="M52" i="3"/>
  <c r="AC8" i="4"/>
  <c r="K16" i="3"/>
  <c r="Y16" i="4"/>
  <c r="AA8" i="4"/>
  <c r="M51" i="3"/>
  <c r="AC22" i="4"/>
  <c r="S27" i="4" l="1"/>
  <c r="U28" i="4"/>
  <c r="U30" i="4" s="1"/>
  <c r="Y28" i="4"/>
  <c r="Y30" i="4" s="1"/>
  <c r="S10" i="4"/>
  <c r="AA10" i="4"/>
  <c r="W28" i="4"/>
  <c r="W30" i="4" s="1"/>
  <c r="AE8" i="4"/>
  <c r="AE11" i="4"/>
  <c r="AE13" i="4"/>
  <c r="AE15" i="4"/>
  <c r="AE14" i="4"/>
  <c r="AE12" i="4"/>
  <c r="O31" i="3"/>
  <c r="AE18" i="4"/>
  <c r="AE21" i="4"/>
  <c r="AE22" i="4"/>
  <c r="AE20" i="4"/>
  <c r="AE9" i="4"/>
  <c r="AE7" i="4"/>
  <c r="AE17" i="4"/>
  <c r="AE24" i="4"/>
  <c r="AE6" i="4"/>
  <c r="AE23" i="4"/>
  <c r="AE26" i="4"/>
  <c r="AE19" i="4"/>
  <c r="AA22" i="4"/>
  <c r="AA24" i="4"/>
  <c r="K31" i="3"/>
  <c r="AA26" i="4"/>
  <c r="AA21" i="4"/>
  <c r="AA19" i="4"/>
  <c r="AA25" i="4"/>
  <c r="AA23" i="4"/>
  <c r="AA20" i="4"/>
  <c r="AA17" i="4"/>
  <c r="AA14" i="4"/>
  <c r="AE25" i="4"/>
  <c r="AC15" i="4"/>
  <c r="M31" i="3"/>
  <c r="AC17" i="4"/>
  <c r="AC24" i="4"/>
  <c r="AC12" i="4"/>
  <c r="AC21" i="4"/>
  <c r="AC25" i="4"/>
  <c r="AC13" i="4"/>
  <c r="AC26" i="4"/>
  <c r="AC19" i="4"/>
  <c r="AC14" i="4"/>
  <c r="AC11" i="4"/>
  <c r="AC20" i="4"/>
  <c r="AC23" i="4"/>
  <c r="AC9" i="4"/>
  <c r="AC10" i="4" s="1"/>
  <c r="AA13" i="4"/>
  <c r="M60" i="3"/>
  <c r="AC36" i="4"/>
  <c r="AA27" i="4" l="1"/>
  <c r="S28" i="4"/>
  <c r="S30" i="4" s="1"/>
  <c r="AE27" i="4"/>
  <c r="AC27" i="4"/>
  <c r="AC28" i="4" s="1"/>
  <c r="AC30" i="4" s="1"/>
  <c r="AE10" i="4"/>
  <c r="AA28" i="4"/>
  <c r="AA16" i="4"/>
  <c r="AC44" i="4"/>
  <c r="M63" i="3"/>
  <c r="AC47" i="4"/>
  <c r="AC54" i="4"/>
  <c r="AC55" i="4"/>
  <c r="AC56" i="4"/>
  <c r="AC49" i="4"/>
  <c r="AC45" i="4"/>
  <c r="AC50" i="4"/>
  <c r="AC42" i="4"/>
  <c r="AC41" i="4"/>
  <c r="AC43" i="4"/>
  <c r="AC51" i="4"/>
  <c r="AC53" i="4"/>
  <c r="AC16" i="4"/>
  <c r="AC46" i="4" s="1"/>
  <c r="AE16" i="4"/>
  <c r="AC38" i="4"/>
  <c r="AC37" i="4"/>
  <c r="AA30" i="4"/>
  <c r="AC52" i="4"/>
  <c r="AC39" i="4"/>
  <c r="AC48" i="4"/>
  <c r="AE28" i="4" l="1"/>
  <c r="AE30" i="4" s="1"/>
  <c r="AC60" i="4"/>
</calcChain>
</file>

<file path=xl/sharedStrings.xml><?xml version="1.0" encoding="utf-8"?>
<sst xmlns="http://schemas.openxmlformats.org/spreadsheetml/2006/main" count="781" uniqueCount="305">
  <si>
    <t>The Ohio State University</t>
  </si>
  <si>
    <t>Summary of Projected Benefit Costs</t>
  </si>
  <si>
    <t>by Rate Group</t>
  </si>
  <si>
    <t>Proj Avg Sal-FY16</t>
  </si>
  <si>
    <t>Proj Avg Sal-FY15</t>
  </si>
  <si>
    <t>% Change</t>
  </si>
  <si>
    <t>Faculty</t>
  </si>
  <si>
    <t>Unclassified</t>
  </si>
  <si>
    <t>Classified Civil Service</t>
  </si>
  <si>
    <t>Specials</t>
  </si>
  <si>
    <t>Students</t>
  </si>
  <si>
    <t>PD Fellows</t>
  </si>
  <si>
    <t>Grad Assistants</t>
  </si>
  <si>
    <t>Totals</t>
  </si>
  <si>
    <t>Primary</t>
  </si>
  <si>
    <t>% Rate/</t>
  </si>
  <si>
    <t>Rate 1</t>
  </si>
  <si>
    <t>Rate 11</t>
  </si>
  <si>
    <t>Rate 2</t>
  </si>
  <si>
    <t>Rate 12</t>
  </si>
  <si>
    <t>Rate 3</t>
  </si>
  <si>
    <t>Rate 13</t>
  </si>
  <si>
    <t>Rate 4</t>
  </si>
  <si>
    <t>Rate 14</t>
  </si>
  <si>
    <t>Rate 5</t>
  </si>
  <si>
    <t>Rate 15</t>
  </si>
  <si>
    <t>Rate 6</t>
  </si>
  <si>
    <t>Rate 16</t>
  </si>
  <si>
    <t>Rate 7</t>
  </si>
  <si>
    <t>Rate 17</t>
  </si>
  <si>
    <t>Cost Driver</t>
  </si>
  <si>
    <t>Cost per Head</t>
  </si>
  <si>
    <t>UNIV/RF</t>
  </si>
  <si>
    <t>Health System</t>
  </si>
  <si>
    <t>Projected Salary</t>
  </si>
  <si>
    <t>Headcount (benefit-eligible FTE)</t>
  </si>
  <si>
    <t>HR Projected Costs</t>
  </si>
  <si>
    <t>Difference</t>
  </si>
  <si>
    <t>STRS</t>
  </si>
  <si>
    <t>Salary $</t>
  </si>
  <si>
    <t>PERS</t>
  </si>
  <si>
    <t>HR est inflated by headcounts and possibly above-guideline raises in HS</t>
  </si>
  <si>
    <t>Medicare</t>
  </si>
  <si>
    <t>Group Life</t>
  </si>
  <si>
    <t>Disability</t>
  </si>
  <si>
    <t>Unemployment Comp</t>
  </si>
  <si>
    <t>Workers Comp-UNIV/RF</t>
  </si>
  <si>
    <t>Workers Comp-Health System</t>
  </si>
  <si>
    <t>Other Benefit Admin Costs</t>
  </si>
  <si>
    <t>HR medical plan cost projection (below) also includes these general benefit admin costs</t>
  </si>
  <si>
    <t>Student Insurance</t>
  </si>
  <si>
    <t>Medical Plans</t>
  </si>
  <si>
    <t>Headcount</t>
  </si>
  <si>
    <t>Affordable Care Act Fees</t>
  </si>
  <si>
    <t>Vision</t>
  </si>
  <si>
    <t>Dental</t>
  </si>
  <si>
    <t>Employee Tuition</t>
  </si>
  <si>
    <t>Dependent Tuition (UNIV-HS only)</t>
  </si>
  <si>
    <t>Total Projected Benefit Costs</t>
  </si>
  <si>
    <t>Projected Rates (excluding Stabilization DR/CR)</t>
  </si>
  <si>
    <t>Total Projected Benefit Costs - UNIV only</t>
  </si>
  <si>
    <t>Total Projected Salary/Wages - UNIV only</t>
  </si>
  <si>
    <t>Projected Benefit Costs - RF Only:</t>
  </si>
  <si>
    <t>(UNIV/RF break-out by % of Projected Salary for Rates 1-4)</t>
  </si>
  <si>
    <t>(see below for Rate 5 % calc…)</t>
  </si>
  <si>
    <t>Combined 5/6/7</t>
  </si>
  <si>
    <t>COBRA Admin/Other Admin Costs</t>
  </si>
  <si>
    <t>NOTE: No dependent tuition costs included in RF rates</t>
  </si>
  <si>
    <t>Total Projected Benefit Costs (excluding add-ons)</t>
  </si>
  <si>
    <t>Total Projected RF Salary/Wages</t>
  </si>
  <si>
    <t>Rate 5 - Student/Grad/Fellow Weighted Average:</t>
  </si>
  <si>
    <t>Projected UNIV</t>
  </si>
  <si>
    <t>Total Projected</t>
  </si>
  <si>
    <t>Projected</t>
  </si>
  <si>
    <t>RF Projected</t>
  </si>
  <si>
    <t>Salary</t>
  </si>
  <si>
    <t>UNIV Benefit</t>
  </si>
  <si>
    <t>Benefit Cost</t>
  </si>
  <si>
    <t>Benefit</t>
  </si>
  <si>
    <t>RF Salary</t>
  </si>
  <si>
    <t>(incl. RF)</t>
  </si>
  <si>
    <t>Costs (incl. RF)</t>
  </si>
  <si>
    <t>per $ of Salary</t>
  </si>
  <si>
    <t>Costs</t>
  </si>
  <si>
    <t>% for Proration</t>
  </si>
  <si>
    <t>Students (undergrads) and Fellows</t>
  </si>
  <si>
    <t>Graduate Assistants</t>
  </si>
  <si>
    <t xml:space="preserve">    Total for RF Rate 5</t>
  </si>
  <si>
    <t>BENEFITS OVERHEAD RATES</t>
  </si>
  <si>
    <r>
      <t>FY 2015 - 2016</t>
    </r>
    <r>
      <rPr>
        <b/>
        <vertAlign val="superscript"/>
        <sz val="16"/>
        <rFont val="Garamond"/>
        <family val="1"/>
      </rPr>
      <t>1</t>
    </r>
  </si>
  <si>
    <t>FY06</t>
  </si>
  <si>
    <r>
      <t xml:space="preserve">FY16 </t>
    </r>
    <r>
      <rPr>
        <b/>
        <u/>
        <vertAlign val="superscript"/>
        <sz val="13"/>
        <rFont val="Garamond"/>
        <family val="1"/>
      </rPr>
      <t>1</t>
    </r>
  </si>
  <si>
    <t>OVERHEAD</t>
  </si>
  <si>
    <t>(FY05 - FY04)</t>
  </si>
  <si>
    <t>PERCENT</t>
  </si>
  <si>
    <t>COMPOSITE</t>
  </si>
  <si>
    <t>UNIVERSITY</t>
  </si>
  <si>
    <t>DIFFERENCE</t>
  </si>
  <si>
    <t>CHANGE</t>
  </si>
  <si>
    <t>RATE 1</t>
  </si>
  <si>
    <t>RATE 2</t>
  </si>
  <si>
    <t>A &amp; P</t>
  </si>
  <si>
    <t>RATE 3</t>
  </si>
  <si>
    <t>CCS</t>
  </si>
  <si>
    <t>RATE 4</t>
  </si>
  <si>
    <t>Non-student</t>
  </si>
  <si>
    <t>RATE 5</t>
  </si>
  <si>
    <t>Student</t>
  </si>
  <si>
    <t>RATE 6</t>
  </si>
  <si>
    <t>Post Doc Fellows</t>
  </si>
  <si>
    <t>RATE 7</t>
  </si>
  <si>
    <t>GA Students</t>
  </si>
  <si>
    <t>HOSPITAL</t>
  </si>
  <si>
    <t>RATE 11</t>
  </si>
  <si>
    <t>RATE 12</t>
  </si>
  <si>
    <t>RATE 13</t>
  </si>
  <si>
    <t>RATE 14</t>
  </si>
  <si>
    <t>RATE 15</t>
  </si>
  <si>
    <t>RATE 16</t>
  </si>
  <si>
    <t>RATE 17</t>
  </si>
  <si>
    <t>OSU Research Foundation</t>
  </si>
  <si>
    <t>Student, Grad, Fellow Combined</t>
  </si>
  <si>
    <r>
      <t>1</t>
    </r>
    <r>
      <rPr>
        <sz val="13"/>
        <rFont val="Garamond"/>
        <family val="1"/>
      </rPr>
      <t xml:space="preserve"> - FY16Composite rates effective September 1st, 2015 through August 31st, 2016.</t>
    </r>
  </si>
  <si>
    <r>
      <t xml:space="preserve">2  </t>
    </r>
    <r>
      <rPr>
        <sz val="13"/>
        <rFont val="Times New Roman"/>
        <family val="1"/>
      </rPr>
      <t>- OSURF Composite rates effective July 1</t>
    </r>
    <r>
      <rPr>
        <vertAlign val="superscript"/>
        <sz val="13"/>
        <rFont val="Times New Roman"/>
        <family val="1"/>
      </rPr>
      <t>st</t>
    </r>
    <r>
      <rPr>
        <sz val="13"/>
        <rFont val="Times New Roman"/>
        <family val="1"/>
      </rPr>
      <t>, 2015 through June 30</t>
    </r>
    <r>
      <rPr>
        <vertAlign val="superscript"/>
        <sz val="13"/>
        <rFont val="Times New Roman"/>
        <family val="1"/>
      </rPr>
      <t>th</t>
    </r>
    <r>
      <rPr>
        <sz val="13"/>
        <rFont val="Times New Roman"/>
        <family val="1"/>
      </rPr>
      <t xml:space="preserve">, 2016 </t>
    </r>
  </si>
  <si>
    <r>
      <t xml:space="preserve">FY16 </t>
    </r>
    <r>
      <rPr>
        <b/>
        <u/>
        <vertAlign val="superscript"/>
        <sz val="13"/>
        <rFont val="Garamond"/>
        <family val="1"/>
      </rPr>
      <t>2</t>
    </r>
  </si>
  <si>
    <t>FOR UNIVERSITY (SEPARATE RATES FOR HOSPITALS)</t>
  </si>
  <si>
    <t>FACULTY</t>
  </si>
  <si>
    <t>UNCLASSIFIED</t>
  </si>
  <si>
    <t>CLASSIFIED</t>
  </si>
  <si>
    <t>NON-STUDENT</t>
  </si>
  <si>
    <t>STUDENT</t>
  </si>
  <si>
    <t>POST DOC</t>
  </si>
  <si>
    <t>GA STUDENT</t>
  </si>
  <si>
    <t>MEDICARE</t>
  </si>
  <si>
    <t>Prime Care Advantage</t>
  </si>
  <si>
    <t>Prime Care Choice</t>
  </si>
  <si>
    <t>PPO Basic</t>
  </si>
  <si>
    <t>Out-Of-Area Plan</t>
  </si>
  <si>
    <t>Prime Care Connect</t>
  </si>
  <si>
    <t>Subtotal</t>
  </si>
  <si>
    <t>MEDICAL</t>
  </si>
  <si>
    <t>Benefit Admin</t>
  </si>
  <si>
    <t>GROUP LIFE</t>
  </si>
  <si>
    <t>LT DISABILITY</t>
  </si>
  <si>
    <t>UNEMPLOYMENT COMP.</t>
  </si>
  <si>
    <t>WORKERS COMP</t>
  </si>
  <si>
    <t>GROUP VISION</t>
  </si>
  <si>
    <t>GROUP DENTAL</t>
  </si>
  <si>
    <t>GA Hlth Ins Subsidy</t>
  </si>
  <si>
    <t>EMPLOYEE TUITION</t>
  </si>
  <si>
    <t>DEPENDENT TUITION</t>
  </si>
  <si>
    <t>PUBLISHED RATE</t>
  </si>
  <si>
    <t>Rate</t>
  </si>
  <si>
    <t>FOR HOSPITALS (SEPARATE RATES FOR UNIVERSITY)</t>
  </si>
  <si>
    <t>ADJUSTED FOR ROUNDING</t>
  </si>
  <si>
    <t>UNIVERSITY (Excludes Hospitals)</t>
  </si>
  <si>
    <t>AS DELIVERED</t>
  </si>
  <si>
    <t>Formula sum Med</t>
  </si>
  <si>
    <t>Pool Account</t>
  </si>
  <si>
    <t>Classified</t>
  </si>
  <si>
    <t>Non-Student</t>
  </si>
  <si>
    <t>Post Doc</t>
  </si>
  <si>
    <t>GA Student</t>
  </si>
  <si>
    <t>010102</t>
  </si>
  <si>
    <t>010101</t>
  </si>
  <si>
    <t>010111</t>
  </si>
  <si>
    <t>060633</t>
  </si>
  <si>
    <t>060614</t>
  </si>
  <si>
    <t>060615</t>
  </si>
  <si>
    <t>060637</t>
  </si>
  <si>
    <t>060632</t>
  </si>
  <si>
    <t>060624</t>
  </si>
  <si>
    <t>060605</t>
  </si>
  <si>
    <t>DISABILITY</t>
  </si>
  <si>
    <t>010105</t>
  </si>
  <si>
    <t>UNEMPLOYMENT COMP</t>
  </si>
  <si>
    <t>060600</t>
  </si>
  <si>
    <t>060601</t>
  </si>
  <si>
    <t>VISION</t>
  </si>
  <si>
    <t>060606</t>
  </si>
  <si>
    <t>DENTAL</t>
  </si>
  <si>
    <t>060607</t>
  </si>
  <si>
    <t>STUDENT INSURANCE</t>
  </si>
  <si>
    <t>060631</t>
  </si>
  <si>
    <t>060603</t>
  </si>
  <si>
    <t>060602</t>
  </si>
  <si>
    <t>TOTAL</t>
  </si>
  <si>
    <t>Formula sum total</t>
  </si>
  <si>
    <t>HOSPITAL (Excludes University)</t>
  </si>
  <si>
    <t>PR Value</t>
  </si>
  <si>
    <t>Description</t>
  </si>
  <si>
    <t>Bnft Value</t>
  </si>
  <si>
    <t>UNIV and OSP (13xxxx)</t>
  </si>
  <si>
    <t>60022</t>
  </si>
  <si>
    <t>9 Month Regular Faculty</t>
  </si>
  <si>
    <t>9 Month Reg Research Track</t>
  </si>
  <si>
    <t>60026</t>
  </si>
  <si>
    <t>9 Month Reg Clinical Track</t>
  </si>
  <si>
    <t>60033</t>
  </si>
  <si>
    <t>12 Month Regular Faculty</t>
  </si>
  <si>
    <t>12 Month Reg Research Track</t>
  </si>
  <si>
    <t>60036</t>
  </si>
  <si>
    <t>12 Month Reg Clinical Track</t>
  </si>
  <si>
    <t>60044</t>
  </si>
  <si>
    <t>Unclassified Regular&gt;=50%</t>
  </si>
  <si>
    <t>60045</t>
  </si>
  <si>
    <t>Post Doc Researcher&gt;=50%</t>
  </si>
  <si>
    <t>60046</t>
  </si>
  <si>
    <t>Associate/Scientist</t>
  </si>
  <si>
    <t>60047</t>
  </si>
  <si>
    <t>Unclassified Staff Overtime</t>
  </si>
  <si>
    <t>60055</t>
  </si>
  <si>
    <t>Classified Reg Sal/Hrly&gt;=50%</t>
  </si>
  <si>
    <t>60057</t>
  </si>
  <si>
    <t>Classified Staff Overtime</t>
  </si>
  <si>
    <t>RCP8</t>
  </si>
  <si>
    <t>60061</t>
  </si>
  <si>
    <t>Faculty Group Practice RCP8</t>
  </si>
  <si>
    <t>RCP10</t>
  </si>
  <si>
    <t>60062</t>
  </si>
  <si>
    <t>Faculty Group Practice RCP10</t>
  </si>
  <si>
    <t>RCP14</t>
  </si>
  <si>
    <t>60063</t>
  </si>
  <si>
    <t>Faculty Group Practice RCP14</t>
  </si>
  <si>
    <t>RCP15</t>
  </si>
  <si>
    <t>60064</t>
  </si>
  <si>
    <t>Faculty Group Practice RCP15</t>
  </si>
  <si>
    <t>RCP20</t>
  </si>
  <si>
    <t>60065</t>
  </si>
  <si>
    <t>Faculty Group Practice RCP20</t>
  </si>
  <si>
    <t>RCP STRS</t>
  </si>
  <si>
    <t>60066</t>
  </si>
  <si>
    <t>Faculty Grp Practice STRS/ARP</t>
  </si>
  <si>
    <t>RCP25</t>
  </si>
  <si>
    <t>60067</t>
  </si>
  <si>
    <t>Faculty Group Practice RCP25</t>
  </si>
  <si>
    <t>60071</t>
  </si>
  <si>
    <t>Faculty Temp or Term&lt;49%</t>
  </si>
  <si>
    <t>60072</t>
  </si>
  <si>
    <t>Faculty Term&gt;=50%</t>
  </si>
  <si>
    <t>60073</t>
  </si>
  <si>
    <t>Clinical Inst House Staff&gt;=50%</t>
  </si>
  <si>
    <t>60074</t>
  </si>
  <si>
    <t>Clinical Inst House Staff&lt;50%</t>
  </si>
  <si>
    <t>60075</t>
  </si>
  <si>
    <t>Auxiliary Clinical&gt;=50%</t>
  </si>
  <si>
    <t>60081</t>
  </si>
  <si>
    <t>Unclassified Temp or &lt;50%</t>
  </si>
  <si>
    <t>60082</t>
  </si>
  <si>
    <t>Unclassified Term or &gt;=75%</t>
  </si>
  <si>
    <t>60083</t>
  </si>
  <si>
    <t>Classified Temp or &lt;50%</t>
  </si>
  <si>
    <t>60091</t>
  </si>
  <si>
    <t>Graduate Teaching Associate</t>
  </si>
  <si>
    <t>60092</t>
  </si>
  <si>
    <t>Graduate Research Associate</t>
  </si>
  <si>
    <t>60093</t>
  </si>
  <si>
    <t>Graduate Admin Associate</t>
  </si>
  <si>
    <t>9 Month OSURF Faculty-RT</t>
  </si>
  <si>
    <t>12 Month OSURF Faculty-RT</t>
  </si>
  <si>
    <t>Admin &amp; Prof OSURF Staff-RT</t>
  </si>
  <si>
    <t>CCS OSURF Staff - RT</t>
  </si>
  <si>
    <t>OSURF Grad Students - RT</t>
  </si>
  <si>
    <t>OSURF Students - RT</t>
  </si>
  <si>
    <t>Faculty Special OSURF-RT</t>
  </si>
  <si>
    <t>Non Stdt Temp OSURF - RT</t>
  </si>
  <si>
    <t>Post Doc OSURF - RT</t>
  </si>
  <si>
    <t>60111</t>
  </si>
  <si>
    <t>Additional Pay w/o Retirement</t>
  </si>
  <si>
    <t>60112</t>
  </si>
  <si>
    <t>Staff Awards</t>
  </si>
  <si>
    <t>60113</t>
  </si>
  <si>
    <t>Student Awards</t>
  </si>
  <si>
    <t>Retirement Incentive</t>
  </si>
  <si>
    <t>60121</t>
  </si>
  <si>
    <t>Additional Pay w/Retirement</t>
  </si>
  <si>
    <t>60122</t>
  </si>
  <si>
    <t>Supplemental Compensation</t>
  </si>
  <si>
    <t>60123</t>
  </si>
  <si>
    <t>Off-Duty Quarter Support</t>
  </si>
  <si>
    <t>60131</t>
  </si>
  <si>
    <t>Student (non-GA/non-FWSP)</t>
  </si>
  <si>
    <t>60132</t>
  </si>
  <si>
    <t>Student Overtime</t>
  </si>
  <si>
    <t>60135</t>
  </si>
  <si>
    <t>Under Enrolled/Non Fee Pd Stdt</t>
  </si>
  <si>
    <t>Student Federal Workstudy</t>
  </si>
  <si>
    <t>60156</t>
  </si>
  <si>
    <t>Workstudy Underenroll/Non Fee</t>
  </si>
  <si>
    <t>GTA-Workstudy</t>
  </si>
  <si>
    <t>60158</t>
  </si>
  <si>
    <t>GRA-Workstudy</t>
  </si>
  <si>
    <t>GAA-Workstudy</t>
  </si>
  <si>
    <t>Student Fellowships</t>
  </si>
  <si>
    <t>Student Trainee</t>
  </si>
  <si>
    <t>65214</t>
  </si>
  <si>
    <t>Post-Doctoral Fellowships</t>
  </si>
  <si>
    <t>OSP (590000)</t>
  </si>
  <si>
    <t>60155</t>
  </si>
  <si>
    <t>60157</t>
  </si>
  <si>
    <t>60159</t>
  </si>
  <si>
    <t>Distribution of 15-16 Composite Benefit Rates</t>
  </si>
  <si>
    <t>BENEFIT COMPOSITE RATES AND COMPONENTS FOR 2015-16</t>
  </si>
  <si>
    <r>
      <t xml:space="preserve">Sep-Aug </t>
    </r>
    <r>
      <rPr>
        <b/>
        <sz val="14"/>
        <rFont val="Arial"/>
        <family val="2"/>
      </rPr>
      <t>FY16</t>
    </r>
  </si>
  <si>
    <t>FY16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</si>
</sst>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"/>
    <numFmt numFmtId="168" formatCode="0.000%"/>
    <numFmt numFmtId="169" formatCode="0.000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Garamond"/>
      <family val="1"/>
    </font>
    <font>
      <sz val="12"/>
      <name val="Garamond"/>
      <family val="1"/>
    </font>
    <font>
      <b/>
      <vertAlign val="superscript"/>
      <sz val="16"/>
      <name val="Garamond"/>
      <family val="1"/>
    </font>
    <font>
      <b/>
      <u/>
      <sz val="13"/>
      <name val="Garamond"/>
      <family val="1"/>
    </font>
    <font>
      <b/>
      <u/>
      <vertAlign val="superscript"/>
      <sz val="13"/>
      <name val="Garamond"/>
      <family val="1"/>
    </font>
    <font>
      <sz val="13"/>
      <name val="Garamond"/>
      <family val="1"/>
    </font>
    <font>
      <b/>
      <sz val="13"/>
      <name val="Garamond"/>
      <family val="1"/>
    </font>
    <font>
      <b/>
      <u/>
      <sz val="14"/>
      <name val="Garamond"/>
      <family val="1"/>
    </font>
    <font>
      <b/>
      <u/>
      <sz val="12"/>
      <name val="Garamond"/>
      <family val="1"/>
    </font>
    <font>
      <b/>
      <vertAlign val="superscript"/>
      <sz val="13"/>
      <name val="Garamond"/>
      <family val="1"/>
    </font>
    <font>
      <vertAlign val="superscript"/>
      <sz val="13"/>
      <name val="Garamond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12"/>
      <name val="Garamond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20"/>
      <name val="Garamond"/>
      <family val="1"/>
    </font>
    <font>
      <b/>
      <u/>
      <sz val="12"/>
      <name val="Times New Roman"/>
      <family val="1"/>
    </font>
    <font>
      <sz val="11"/>
      <name val="Garamond"/>
      <family val="1"/>
    </font>
    <font>
      <i/>
      <u/>
      <sz val="12"/>
      <name val="Garamond"/>
      <family val="1"/>
    </font>
    <font>
      <u/>
      <sz val="12"/>
      <name val="Garamond"/>
      <family val="1"/>
    </font>
    <font>
      <sz val="8"/>
      <color indexed="12"/>
      <name val="Arial"/>
      <family val="2"/>
    </font>
    <font>
      <b/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8" fillId="0" borderId="18">
      <alignment horizontal="center"/>
    </xf>
    <xf numFmtId="0" fontId="29" fillId="0" borderId="0" applyNumberFormat="0" applyFont="0" applyFill="0" applyBorder="0" applyAlignment="0" applyProtection="0">
      <alignment horizontal="left"/>
    </xf>
    <xf numFmtId="4" fontId="29" fillId="0" borderId="0" applyFont="0" applyFill="0" applyBorder="0" applyAlignment="0" applyProtection="0"/>
    <xf numFmtId="0" fontId="3" fillId="0" borderId="0"/>
    <xf numFmtId="0" fontId="30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39" fontId="0" fillId="0" borderId="0" xfId="0" applyNumberFormat="1"/>
    <xf numFmtId="165" fontId="0" fillId="0" borderId="0" xfId="3" applyNumberFormat="1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/>
    <xf numFmtId="0" fontId="0" fillId="0" borderId="0" xfId="0" applyFont="1" applyAlignment="1">
      <alignment horizontal="center"/>
    </xf>
    <xf numFmtId="10" fontId="0" fillId="0" borderId="0" xfId="0" applyNumberFormat="1"/>
    <xf numFmtId="164" fontId="0" fillId="0" borderId="0" xfId="0" applyNumberFormat="1"/>
    <xf numFmtId="166" fontId="0" fillId="0" borderId="0" xfId="2" applyNumberFormat="1" applyFont="1"/>
    <xf numFmtId="164" fontId="0" fillId="2" borderId="0" xfId="1" applyNumberFormat="1" applyFont="1" applyFill="1"/>
    <xf numFmtId="0" fontId="0" fillId="0" borderId="0" xfId="0" applyFill="1"/>
    <xf numFmtId="164" fontId="0" fillId="0" borderId="5" xfId="1" applyNumberFormat="1" applyFont="1" applyBorder="1"/>
    <xf numFmtId="164" fontId="0" fillId="0" borderId="3" xfId="0" applyNumberFormat="1" applyBorder="1"/>
    <xf numFmtId="164" fontId="0" fillId="0" borderId="0" xfId="1" applyNumberFormat="1" applyFont="1" applyBorder="1"/>
    <xf numFmtId="165" fontId="0" fillId="0" borderId="0" xfId="3" applyNumberFormat="1" applyFont="1" applyBorder="1"/>
    <xf numFmtId="10" fontId="0" fillId="0" borderId="0" xfId="3" applyNumberFormat="1" applyFont="1" applyAlignment="1">
      <alignment horizontal="center"/>
    </xf>
    <xf numFmtId="10" fontId="0" fillId="0" borderId="3" xfId="3" applyNumberFormat="1" applyFont="1" applyBorder="1" applyAlignment="1">
      <alignment horizontal="center"/>
    </xf>
    <xf numFmtId="43" fontId="0" fillId="0" borderId="0" xfId="0" applyNumberFormat="1"/>
    <xf numFmtId="0" fontId="0" fillId="3" borderId="0" xfId="0" applyFill="1"/>
    <xf numFmtId="164" fontId="0" fillId="0" borderId="5" xfId="0" applyNumberFormat="1" applyBorder="1"/>
    <xf numFmtId="164" fontId="0" fillId="0" borderId="6" xfId="1" applyNumberFormat="1" applyFont="1" applyBorder="1"/>
    <xf numFmtId="0" fontId="0" fillId="0" borderId="0" xfId="0" applyBorder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4" xfId="0" applyNumberFormat="1" applyFill="1" applyBorder="1" applyAlignment="1">
      <alignment horizontal="center"/>
    </xf>
    <xf numFmtId="43" fontId="0" fillId="0" borderId="0" xfId="1" applyNumberFormat="1" applyFont="1"/>
    <xf numFmtId="164" fontId="0" fillId="0" borderId="4" xfId="1" applyNumberFormat="1" applyFont="1" applyBorder="1"/>
    <xf numFmtId="164" fontId="0" fillId="0" borderId="3" xfId="1" applyNumberFormat="1" applyFont="1" applyBorder="1"/>
    <xf numFmtId="10" fontId="0" fillId="0" borderId="3" xfId="3" applyNumberFormat="1" applyFont="1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165" fontId="9" fillId="0" borderId="0" xfId="3" applyNumberFormat="1" applyFont="1" applyBorder="1" applyAlignment="1">
      <alignment horizontal="center"/>
    </xf>
    <xf numFmtId="165" fontId="5" fillId="0" borderId="0" xfId="3" applyNumberFormat="1" applyFont="1" applyBorder="1" applyAlignment="1">
      <alignment horizontal="center"/>
    </xf>
    <xf numFmtId="10" fontId="5" fillId="0" borderId="0" xfId="3" applyNumberFormat="1" applyFont="1" applyBorder="1" applyAlignment="1">
      <alignment horizontal="center"/>
    </xf>
    <xf numFmtId="0" fontId="5" fillId="0" borderId="0" xfId="0" applyFont="1" applyBorder="1" applyAlignment="1"/>
    <xf numFmtId="0" fontId="12" fillId="0" borderId="0" xfId="0" applyFont="1" applyBorder="1"/>
    <xf numFmtId="165" fontId="9" fillId="0" borderId="0" xfId="3" applyNumberFormat="1" applyFont="1" applyBorder="1"/>
    <xf numFmtId="165" fontId="9" fillId="0" borderId="0" xfId="3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5" fillId="0" borderId="0" xfId="0" applyFont="1" applyFill="1" applyBorder="1"/>
    <xf numFmtId="0" fontId="9" fillId="0" borderId="0" xfId="0" applyFont="1" applyFill="1" applyBorder="1"/>
    <xf numFmtId="165" fontId="5" fillId="0" borderId="0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quotePrefix="1" applyFont="1" applyFill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0" borderId="0" xfId="3" applyNumberFormat="1" applyFont="1" applyFill="1" applyBorder="1"/>
    <xf numFmtId="0" fontId="14" fillId="0" borderId="0" xfId="0" applyFont="1" applyBorder="1" applyAlignment="1"/>
    <xf numFmtId="10" fontId="9" fillId="0" borderId="0" xfId="3" applyNumberFormat="1" applyFont="1" applyBorder="1"/>
    <xf numFmtId="0" fontId="1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Continuous"/>
    </xf>
    <xf numFmtId="0" fontId="17" fillId="4" borderId="7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4" borderId="10" xfId="0" applyFont="1" applyFill="1" applyBorder="1"/>
    <xf numFmtId="0" fontId="17" fillId="4" borderId="0" xfId="0" applyFont="1" applyFill="1" applyBorder="1"/>
    <xf numFmtId="0" fontId="17" fillId="4" borderId="11" xfId="0" applyFont="1" applyFill="1" applyBorder="1"/>
    <xf numFmtId="0" fontId="17" fillId="4" borderId="12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5" fillId="0" borderId="14" xfId="0" applyFont="1" applyBorder="1"/>
    <xf numFmtId="165" fontId="5" fillId="0" borderId="3" xfId="3" applyNumberFormat="1" applyFont="1" applyBorder="1"/>
    <xf numFmtId="0" fontId="5" fillId="0" borderId="15" xfId="0" applyFont="1" applyBorder="1"/>
    <xf numFmtId="0" fontId="5" fillId="5" borderId="0" xfId="0" applyFont="1" applyFill="1" applyBorder="1"/>
    <xf numFmtId="165" fontId="5" fillId="5" borderId="3" xfId="3" applyNumberFormat="1" applyFont="1" applyFill="1" applyBorder="1"/>
    <xf numFmtId="167" fontId="5" fillId="0" borderId="0" xfId="0" applyNumberFormat="1" applyFont="1"/>
    <xf numFmtId="10" fontId="18" fillId="0" borderId="0" xfId="0" applyNumberFormat="1" applyFont="1" applyAlignment="1">
      <alignment horizontal="center"/>
    </xf>
    <xf numFmtId="168" fontId="5" fillId="0" borderId="0" xfId="3" applyNumberFormat="1" applyFont="1"/>
    <xf numFmtId="0" fontId="17" fillId="4" borderId="16" xfId="0" applyFont="1" applyFill="1" applyBorder="1"/>
    <xf numFmtId="165" fontId="17" fillId="4" borderId="3" xfId="3" applyNumberFormat="1" applyFont="1" applyFill="1" applyBorder="1"/>
    <xf numFmtId="10" fontId="19" fillId="0" borderId="0" xfId="0" applyNumberFormat="1" applyFont="1" applyAlignment="1">
      <alignment horizontal="center"/>
    </xf>
    <xf numFmtId="165" fontId="5" fillId="0" borderId="0" xfId="3" applyNumberFormat="1" applyFont="1"/>
    <xf numFmtId="0" fontId="17" fillId="4" borderId="3" xfId="0" applyFont="1" applyFill="1" applyBorder="1"/>
    <xf numFmtId="165" fontId="17" fillId="4" borderId="3" xfId="0" applyNumberFormat="1" applyFont="1" applyFill="1" applyBorder="1"/>
    <xf numFmtId="165" fontId="17" fillId="4" borderId="1" xfId="0" applyNumberFormat="1" applyFont="1" applyFill="1" applyBorder="1"/>
    <xf numFmtId="165" fontId="17" fillId="4" borderId="17" xfId="0" applyNumberFormat="1" applyFont="1" applyFill="1" applyBorder="1"/>
    <xf numFmtId="165" fontId="17" fillId="4" borderId="2" xfId="0" applyNumberFormat="1" applyFont="1" applyFill="1" applyBorder="1"/>
    <xf numFmtId="0" fontId="17" fillId="0" borderId="0" xfId="0" applyFont="1"/>
    <xf numFmtId="0" fontId="20" fillId="0" borderId="0" xfId="0" applyFont="1" applyAlignment="1">
      <alignment horizontal="center"/>
    </xf>
    <xf numFmtId="165" fontId="21" fillId="0" borderId="0" xfId="0" applyNumberFormat="1" applyFont="1"/>
    <xf numFmtId="165" fontId="5" fillId="0" borderId="0" xfId="0" applyNumberFormat="1" applyFont="1"/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0" fontId="5" fillId="0" borderId="0" xfId="0" applyNumberFormat="1" applyFont="1"/>
    <xf numFmtId="10" fontId="5" fillId="0" borderId="0" xfId="0" applyNumberFormat="1" applyFont="1" applyBorder="1"/>
    <xf numFmtId="165" fontId="18" fillId="0" borderId="0" xfId="3" applyNumberFormat="1" applyFont="1" applyAlignment="1">
      <alignment horizontal="center"/>
    </xf>
    <xf numFmtId="165" fontId="5" fillId="0" borderId="0" xfId="0" applyNumberFormat="1" applyFont="1" applyBorder="1"/>
    <xf numFmtId="0" fontId="23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5" fontId="5" fillId="0" borderId="0" xfId="3" applyNumberFormat="1" applyFont="1" applyBorder="1"/>
    <xf numFmtId="169" fontId="5" fillId="0" borderId="0" xfId="3" applyNumberFormat="1" applyFont="1" applyBorder="1"/>
    <xf numFmtId="49" fontId="5" fillId="5" borderId="0" xfId="0" applyNumberFormat="1" applyFont="1" applyFill="1" applyBorder="1" applyAlignment="1">
      <alignment horizontal="center"/>
    </xf>
    <xf numFmtId="165" fontId="5" fillId="5" borderId="0" xfId="3" applyNumberFormat="1" applyFont="1" applyFill="1" applyBorder="1"/>
    <xf numFmtId="165" fontId="5" fillId="5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165" fontId="5" fillId="0" borderId="0" xfId="3" applyNumberFormat="1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 applyAlignment="1"/>
    <xf numFmtId="10" fontId="5" fillId="0" borderId="0" xfId="3" applyNumberFormat="1" applyFont="1" applyFill="1" applyBorder="1"/>
    <xf numFmtId="165" fontId="24" fillId="0" borderId="0" xfId="3" applyNumberFormat="1" applyFont="1" applyFill="1" applyBorder="1"/>
    <xf numFmtId="0" fontId="23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10" fontId="5" fillId="0" borderId="0" xfId="3" applyNumberFormat="1" applyFont="1" applyBorder="1"/>
    <xf numFmtId="10" fontId="25" fillId="0" borderId="0" xfId="3" applyNumberFormat="1" applyFont="1" applyBorder="1"/>
    <xf numFmtId="0" fontId="26" fillId="0" borderId="0" xfId="4" applyFont="1" applyBorder="1" applyAlignment="1">
      <alignment wrapText="1"/>
    </xf>
    <xf numFmtId="0" fontId="2" fillId="0" borderId="0" xfId="5" applyFont="1" applyBorder="1" applyAlignment="1">
      <alignment horizontal="center" wrapText="1"/>
    </xf>
    <xf numFmtId="0" fontId="2" fillId="0" borderId="0" xfId="4" applyFont="1" applyBorder="1" applyAlignment="1">
      <alignment horizontal="center"/>
    </xf>
    <xf numFmtId="0" fontId="28" fillId="6" borderId="18" xfId="4" applyFont="1" applyFill="1" applyBorder="1" applyAlignment="1">
      <alignment horizontal="center"/>
    </xf>
    <xf numFmtId="0" fontId="3" fillId="0" borderId="0" xfId="4" applyFont="1"/>
    <xf numFmtId="49" fontId="3" fillId="0" borderId="0" xfId="6" applyNumberFormat="1" applyFont="1" applyAlignment="1"/>
    <xf numFmtId="0" fontId="3" fillId="0" borderId="0" xfId="7" applyNumberFormat="1" applyFont="1"/>
    <xf numFmtId="49" fontId="3" fillId="0" borderId="0" xfId="6" applyNumberFormat="1" applyFont="1" applyAlignment="1">
      <alignment horizontal="left"/>
    </xf>
    <xf numFmtId="0" fontId="3" fillId="0" borderId="0" xfId="8" applyFont="1" applyBorder="1" applyAlignment="1">
      <alignment wrapText="1"/>
    </xf>
    <xf numFmtId="0" fontId="3" fillId="0" borderId="0" xfId="4" applyFont="1" applyFill="1"/>
    <xf numFmtId="49" fontId="30" fillId="0" borderId="0" xfId="9" applyNumberFormat="1"/>
    <xf numFmtId="49" fontId="3" fillId="0" borderId="0" xfId="4" applyNumberFormat="1" applyFont="1" applyAlignment="1">
      <alignment horizontal="left"/>
    </xf>
    <xf numFmtId="0" fontId="27" fillId="0" borderId="0" xfId="4" applyFont="1" applyBorder="1" applyAlignment="1">
      <alignment wrapText="1"/>
    </xf>
    <xf numFmtId="49" fontId="3" fillId="0" borderId="0" xfId="6" applyNumberFormat="1" applyFont="1" applyBorder="1" applyAlignment="1">
      <alignment horizontal="left"/>
    </xf>
    <xf numFmtId="0" fontId="3" fillId="0" borderId="0" xfId="4" applyFont="1" applyBorder="1"/>
    <xf numFmtId="49" fontId="3" fillId="0" borderId="0" xfId="6" applyNumberFormat="1" applyFont="1" applyBorder="1" applyAlignment="1"/>
    <xf numFmtId="0" fontId="17" fillId="0" borderId="0" xfId="0" applyFont="1" applyBorder="1"/>
    <xf numFmtId="49" fontId="17" fillId="0" borderId="0" xfId="0" applyNumberFormat="1" applyFont="1" applyBorder="1" applyAlignment="1">
      <alignment horizontal="center"/>
    </xf>
    <xf numFmtId="165" fontId="17" fillId="0" borderId="0" xfId="3" applyNumberFormat="1" applyFont="1" applyBorder="1"/>
    <xf numFmtId="165" fontId="17" fillId="0" borderId="0" xfId="0" applyNumberFormat="1" applyFont="1" applyBorder="1"/>
    <xf numFmtId="169" fontId="17" fillId="0" borderId="0" xfId="3" applyNumberFormat="1" applyFont="1" applyBorder="1"/>
    <xf numFmtId="0" fontId="17" fillId="0" borderId="0" xfId="0" applyFont="1" applyFill="1" applyBorder="1" applyAlignment="1"/>
    <xf numFmtId="49" fontId="17" fillId="0" borderId="0" xfId="0" applyNumberFormat="1" applyFont="1" applyFill="1" applyBorder="1" applyAlignment="1">
      <alignment horizontal="center"/>
    </xf>
    <xf numFmtId="10" fontId="17" fillId="0" borderId="0" xfId="3" applyNumberFormat="1" applyFont="1" applyFill="1" applyBorder="1"/>
    <xf numFmtId="0" fontId="17" fillId="0" borderId="0" xfId="0" applyFont="1" applyFill="1" applyBorder="1"/>
    <xf numFmtId="165" fontId="17" fillId="0" borderId="0" xfId="0" applyNumberFormat="1" applyFont="1" applyFill="1" applyBorder="1"/>
    <xf numFmtId="165" fontId="17" fillId="0" borderId="0" xfId="3" applyNumberFormat="1" applyFont="1" applyFill="1" applyBorder="1"/>
    <xf numFmtId="0" fontId="17" fillId="0" borderId="0" xfId="0" applyFont="1" applyBorder="1" applyAlignment="1"/>
    <xf numFmtId="10" fontId="17" fillId="0" borderId="0" xfId="3" applyNumberFormat="1" applyFont="1" applyBorder="1"/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8" fillId="6" borderId="18" xfId="4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0">
    <cellStyle name="Comma" xfId="1" builtinId="3"/>
    <cellStyle name="Currency" xfId="2" builtinId="4"/>
    <cellStyle name="Normal" xfId="0" builtinId="0"/>
    <cellStyle name="Normal 2 2" xfId="9"/>
    <cellStyle name="Normal 3" xfId="4"/>
    <cellStyle name="Normal_QUERY" xfId="8"/>
    <cellStyle name="Percent" xfId="3" builtinId="5"/>
    <cellStyle name="PSChar" xfId="6"/>
    <cellStyle name="PSDec" xfId="7"/>
    <cellStyle name="PSHeading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efits/BENSHARE/Finance/KG/Comp%20Rates/FY14/FY14%20Rate%20breakdown%20updated%20for%201-1-14%20chang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pp.1/AppData/Local/Microsoft/Windows/Temporary%20Internet%20Files/Content.Outlook/GWEBK31G/benefit_rate_calculation_0303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Components 13-14"/>
      <sheetName val="Distribution 13-14 Final"/>
      <sheetName val="fy14_summary_bnft_projection"/>
    </sheetNames>
    <sheetDataSet>
      <sheetData sheetId="0"/>
      <sheetData sheetId="1">
        <row r="8">
          <cell r="C8">
            <v>0.14000000000000001</v>
          </cell>
          <cell r="E8">
            <v>0</v>
          </cell>
          <cell r="G8">
            <v>0</v>
          </cell>
          <cell r="I8">
            <v>0.14000000000000001</v>
          </cell>
          <cell r="K8">
            <v>0</v>
          </cell>
          <cell r="M8">
            <v>0</v>
          </cell>
          <cell r="O8">
            <v>0</v>
          </cell>
        </row>
        <row r="9">
          <cell r="C9">
            <v>0</v>
          </cell>
          <cell r="E9">
            <v>0.14000000000000001</v>
          </cell>
          <cell r="G9">
            <v>0.14000000000000001</v>
          </cell>
          <cell r="I9">
            <v>0</v>
          </cell>
          <cell r="K9">
            <v>1E-3</v>
          </cell>
          <cell r="M9">
            <v>0</v>
          </cell>
          <cell r="O9">
            <v>0</v>
          </cell>
        </row>
        <row r="10">
          <cell r="C10">
            <v>1.2999999999999999E-2</v>
          </cell>
          <cell r="E10">
            <v>1.2999999999999999E-2</v>
          </cell>
          <cell r="G10">
            <v>1.2999999999999999E-2</v>
          </cell>
          <cell r="I10">
            <v>1.2999999999999999E-2</v>
          </cell>
          <cell r="K10">
            <v>0</v>
          </cell>
          <cell r="M10">
            <v>0</v>
          </cell>
          <cell r="O10">
            <v>0</v>
          </cell>
        </row>
        <row r="11">
          <cell r="C11">
            <v>0.1</v>
          </cell>
          <cell r="E11">
            <v>0.14199999999999999</v>
          </cell>
          <cell r="G11">
            <v>0.223</v>
          </cell>
          <cell r="I11">
            <v>3.0000000000000001E-3</v>
          </cell>
          <cell r="K11">
            <v>0</v>
          </cell>
          <cell r="M11">
            <v>1.9E-2</v>
          </cell>
          <cell r="O11">
            <v>3.0000000000000001E-3</v>
          </cell>
        </row>
        <row r="18">
          <cell r="C18">
            <v>3.0000000000000001E-3</v>
          </cell>
          <cell r="E18">
            <v>3.0000000000000001E-3</v>
          </cell>
          <cell r="G18">
            <v>3.0000000000000001E-3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</row>
        <row r="19">
          <cell r="C19">
            <v>3.0000000000000001E-3</v>
          </cell>
          <cell r="E19">
            <v>3.0000000000000001E-3</v>
          </cell>
          <cell r="G19">
            <v>3.0000000000000001E-3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</row>
        <row r="20">
          <cell r="C20">
            <v>1E-3</v>
          </cell>
          <cell r="E20">
            <v>1E-3</v>
          </cell>
          <cell r="G20">
            <v>1E-3</v>
          </cell>
          <cell r="I20">
            <v>1E-3</v>
          </cell>
          <cell r="K20">
            <v>0</v>
          </cell>
          <cell r="M20">
            <v>0</v>
          </cell>
          <cell r="O20">
            <v>0</v>
          </cell>
        </row>
        <row r="21">
          <cell r="C21">
            <v>4.0000000000000001E-3</v>
          </cell>
          <cell r="E21">
            <v>4.0000000000000001E-3</v>
          </cell>
          <cell r="G21">
            <v>4.0000000000000001E-3</v>
          </cell>
          <cell r="I21">
            <v>4.0000000000000001E-3</v>
          </cell>
          <cell r="K21">
            <v>6.3710508486807616E-3</v>
          </cell>
          <cell r="M21">
            <v>0</v>
          </cell>
          <cell r="O21">
            <v>3.0000000000000001E-3</v>
          </cell>
        </row>
        <row r="22">
          <cell r="C22">
            <v>1E-3</v>
          </cell>
          <cell r="E22">
            <v>2E-3</v>
          </cell>
          <cell r="G22">
            <v>2E-3</v>
          </cell>
          <cell r="I22">
            <v>0</v>
          </cell>
          <cell r="K22">
            <v>0</v>
          </cell>
          <cell r="M22">
            <v>1E-3</v>
          </cell>
          <cell r="O22">
            <v>0</v>
          </cell>
        </row>
        <row r="23">
          <cell r="C23">
            <v>7.0000000000000001E-3</v>
          </cell>
          <cell r="E23">
            <v>0.01</v>
          </cell>
          <cell r="G23">
            <v>1.6E-2</v>
          </cell>
          <cell r="I23">
            <v>0</v>
          </cell>
          <cell r="K23">
            <v>0</v>
          </cell>
          <cell r="M23">
            <v>1E-3</v>
          </cell>
          <cell r="O23">
            <v>0</v>
          </cell>
        </row>
        <row r="24">
          <cell r="C24">
            <v>0</v>
          </cell>
          <cell r="E24">
            <v>0</v>
          </cell>
          <cell r="G24">
            <v>0</v>
          </cell>
          <cell r="I24">
            <v>0</v>
          </cell>
          <cell r="K24">
            <v>0</v>
          </cell>
          <cell r="M24">
            <v>0</v>
          </cell>
          <cell r="O24">
            <v>0.11600000000000001</v>
          </cell>
        </row>
        <row r="26">
          <cell r="C26">
            <v>5.0000000000000001E-3</v>
          </cell>
          <cell r="E26">
            <v>7.0000000000000001E-3</v>
          </cell>
          <cell r="G26">
            <v>0.01</v>
          </cell>
          <cell r="I26">
            <v>0</v>
          </cell>
          <cell r="K26">
            <v>0</v>
          </cell>
          <cell r="M26">
            <v>8.7364781384615493E-4</v>
          </cell>
          <cell r="O26">
            <v>0</v>
          </cell>
        </row>
        <row r="27">
          <cell r="C27">
            <v>0.29600000000000004</v>
          </cell>
          <cell r="E27">
            <v>0.35200000000000009</v>
          </cell>
          <cell r="G27">
            <v>0.45700000000000007</v>
          </cell>
          <cell r="I27">
            <v>0.16100000000000003</v>
          </cell>
          <cell r="K27">
            <v>7.3710508486807616E-3</v>
          </cell>
          <cell r="M27">
            <v>2.5873647813846157E-2</v>
          </cell>
          <cell r="O27">
            <v>0.12200000000000001</v>
          </cell>
        </row>
        <row r="39">
          <cell r="C39">
            <v>0.14000000000000001</v>
          </cell>
          <cell r="E39">
            <v>0</v>
          </cell>
          <cell r="G39">
            <v>0</v>
          </cell>
          <cell r="I39">
            <v>0.14000000000000001</v>
          </cell>
          <cell r="K39">
            <v>0</v>
          </cell>
          <cell r="M39">
            <v>0</v>
          </cell>
          <cell r="O39">
            <v>0</v>
          </cell>
        </row>
        <row r="40">
          <cell r="C40">
            <v>0</v>
          </cell>
          <cell r="E40">
            <v>0.14000000000000001</v>
          </cell>
          <cell r="G40">
            <v>0.14000000000000001</v>
          </cell>
          <cell r="I40">
            <v>0</v>
          </cell>
          <cell r="K40">
            <v>1E-3</v>
          </cell>
          <cell r="M40">
            <v>0</v>
          </cell>
          <cell r="O40">
            <v>0</v>
          </cell>
        </row>
        <row r="41">
          <cell r="C41">
            <v>1.2999999999999999E-2</v>
          </cell>
          <cell r="E41">
            <v>1.2999999999999999E-2</v>
          </cell>
          <cell r="G41">
            <v>1.2999999999999999E-2</v>
          </cell>
          <cell r="I41">
            <v>1.2999999999999999E-2</v>
          </cell>
          <cell r="K41">
            <v>0</v>
          </cell>
          <cell r="M41">
            <v>0</v>
          </cell>
          <cell r="O41">
            <v>0</v>
          </cell>
        </row>
        <row r="42">
          <cell r="C42">
            <v>0.153</v>
          </cell>
          <cell r="E42">
            <v>0.104</v>
          </cell>
          <cell r="G42">
            <v>0.219</v>
          </cell>
          <cell r="I42">
            <v>2E-3</v>
          </cell>
          <cell r="K42">
            <v>0</v>
          </cell>
          <cell r="M42">
            <v>1.9E-2</v>
          </cell>
          <cell r="O42">
            <v>2E-3</v>
          </cell>
        </row>
        <row r="49">
          <cell r="C49">
            <v>3.0000000000000001E-3</v>
          </cell>
          <cell r="E49">
            <v>3.0000000000000001E-3</v>
          </cell>
          <cell r="G49">
            <v>3.0000000000000001E-3</v>
          </cell>
          <cell r="I49">
            <v>0</v>
          </cell>
          <cell r="K49">
            <v>0</v>
          </cell>
          <cell r="M49">
            <v>0</v>
          </cell>
          <cell r="O49">
            <v>0</v>
          </cell>
        </row>
        <row r="50">
          <cell r="C50">
            <v>3.0000000000000001E-3</v>
          </cell>
          <cell r="E50">
            <v>3.0000000000000001E-3</v>
          </cell>
          <cell r="G50">
            <v>3.0000000000000001E-3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</row>
        <row r="51">
          <cell r="C51">
            <v>1E-3</v>
          </cell>
          <cell r="E51">
            <v>1E-3</v>
          </cell>
          <cell r="G51">
            <v>1E-3</v>
          </cell>
          <cell r="I51">
            <v>1E-3</v>
          </cell>
          <cell r="K51">
            <v>0</v>
          </cell>
          <cell r="M51">
            <v>0</v>
          </cell>
          <cell r="O51">
            <v>0</v>
          </cell>
        </row>
        <row r="52">
          <cell r="C52">
            <v>8.9999999999999993E-3</v>
          </cell>
          <cell r="E52">
            <v>8.9999999999999993E-3</v>
          </cell>
          <cell r="G52">
            <v>8.9999999999999993E-3</v>
          </cell>
          <cell r="I52">
            <v>9.9999999999999985E-3</v>
          </cell>
          <cell r="K52">
            <v>9.9999999999999985E-3</v>
          </cell>
          <cell r="M52">
            <v>0</v>
          </cell>
          <cell r="O52">
            <v>8.9999999999999993E-3</v>
          </cell>
        </row>
        <row r="53">
          <cell r="C53">
            <v>2E-3</v>
          </cell>
          <cell r="E53">
            <v>1E-3</v>
          </cell>
          <cell r="G53">
            <v>2E-3</v>
          </cell>
          <cell r="I53">
            <v>0</v>
          </cell>
          <cell r="K53">
            <v>0</v>
          </cell>
          <cell r="M53">
            <v>1E-3</v>
          </cell>
          <cell r="O53">
            <v>0</v>
          </cell>
        </row>
        <row r="54">
          <cell r="C54">
            <v>1.0999999999999999E-2</v>
          </cell>
          <cell r="E54">
            <v>7.0000000000000001E-3</v>
          </cell>
          <cell r="G54">
            <v>1.6E-2</v>
          </cell>
          <cell r="I54">
            <v>0</v>
          </cell>
          <cell r="K54">
            <v>0</v>
          </cell>
          <cell r="M54">
            <v>1E-3</v>
          </cell>
          <cell r="O54">
            <v>0</v>
          </cell>
        </row>
        <row r="55">
          <cell r="C55">
            <v>0</v>
          </cell>
          <cell r="E55">
            <v>0</v>
          </cell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0.111</v>
          </cell>
        </row>
        <row r="57">
          <cell r="C57">
            <v>7.0000000000000001E-3</v>
          </cell>
          <cell r="E57">
            <v>4.0000000000000001E-3</v>
          </cell>
          <cell r="G57">
            <v>8.9999999999999993E-3</v>
          </cell>
          <cell r="I57">
            <v>0</v>
          </cell>
          <cell r="K57">
            <v>0</v>
          </cell>
          <cell r="M57">
            <v>8.7364781384615493E-4</v>
          </cell>
          <cell r="O57">
            <v>0</v>
          </cell>
        </row>
        <row r="58">
          <cell r="C58">
            <v>0.37100000000000011</v>
          </cell>
          <cell r="E58">
            <v>0.30500000000000005</v>
          </cell>
          <cell r="G58">
            <v>0.45500000000000007</v>
          </cell>
          <cell r="I58">
            <v>0.16600000000000004</v>
          </cell>
          <cell r="K58">
            <v>1.0999999999999999E-2</v>
          </cell>
          <cell r="M58">
            <v>2.5873647813846157E-2</v>
          </cell>
          <cell r="O58">
            <v>0.122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_Steps_032613"/>
      <sheetName val="SummarySchedules"/>
      <sheetName val="fy16_salary_projection"/>
      <sheetName val="rate_stabilization_DR_CR"/>
      <sheetName val="fy15_OSP_Proposed_Rates"/>
      <sheetName val="FY15_FGP_OSUP_Rates"/>
      <sheetName val="fy16_summary_bnft_projection"/>
      <sheetName val="fy16_bnft_proj_by_component"/>
      <sheetName val="fy16_HR_cost_estimates"/>
      <sheetName val="fy14_salary"/>
      <sheetName val="FY14_Alloc_Actual_Bnft_Cost"/>
      <sheetName val="fy15_HR_cost_estimates"/>
      <sheetName val="FY14_actuals_summary"/>
      <sheetName val="FY14_actuals_by_fund"/>
      <sheetName val="Fy14_Ben_Admin_costs"/>
      <sheetName val="fy14_benefit_charges"/>
      <sheetName val="AU13_FTE_Total"/>
      <sheetName val="AU13_FTE_FGP"/>
      <sheetName val="fy13_salary"/>
      <sheetName val="FY13_actuals_summary"/>
      <sheetName val="FY13_actuals_by_fund"/>
      <sheetName val="medical_admin_costs_fy13"/>
      <sheetName val="FY12_actuals_by_fund"/>
      <sheetName val="FY12_med_admin_costs"/>
      <sheetName val="FY11_actuals_by_fund"/>
      <sheetName val="14_OSP_Vac_sick"/>
      <sheetName val="RF_Vac_Sick_13"/>
      <sheetName val="RF_Vac_Sick_12"/>
      <sheetName val="RF_Vac_Sick_11"/>
      <sheetName val="cash_liab_analysis_123114"/>
      <sheetName val="cash_liab_analysis_123113"/>
      <sheetName val="cash_liab_analysis_123112"/>
      <sheetName val="AU12_Headcount"/>
      <sheetName val="AU12_FGP"/>
      <sheetName val="AU11_Headcount"/>
      <sheetName val="AU11_HEASCI_FPG"/>
      <sheetName val="RF_salary_summary_13"/>
      <sheetName val="fy12_hr_projected_costs"/>
      <sheetName val="fy10_actuals_by_fund"/>
      <sheetName val="RF_Vac_Sick_10"/>
      <sheetName val="glu602dw_123112_benefit_funds"/>
      <sheetName val="61_Cash_093012"/>
      <sheetName val="61_Cash_093011"/>
      <sheetName val="61_Cash_093010"/>
      <sheetName val="RF_VacSick_09"/>
      <sheetName val="RF_VacSick_08"/>
      <sheetName val="FY07_Actuals_Summary"/>
      <sheetName val="cashflow_projection_07_08"/>
      <sheetName val="pers_cash_projection"/>
      <sheetName val="FY09_HR_Cost_Estimate"/>
      <sheetName val="Notes"/>
      <sheetName val="Part_Time_Term_Rate"/>
      <sheetName val="HS_Unclassified_Rates"/>
    </sheetNames>
    <sheetDataSet>
      <sheetData sheetId="0"/>
      <sheetData sheetId="1"/>
      <sheetData sheetId="2">
        <row r="18">
          <cell r="H18">
            <v>77245834.23774001</v>
          </cell>
        </row>
        <row r="25">
          <cell r="H25">
            <v>0.02</v>
          </cell>
        </row>
        <row r="27">
          <cell r="H27">
            <v>0.02</v>
          </cell>
        </row>
        <row r="29">
          <cell r="B29">
            <v>32228934.464664008</v>
          </cell>
          <cell r="C29">
            <v>74863586.005487964</v>
          </cell>
          <cell r="D29">
            <v>1055089.324368</v>
          </cell>
          <cell r="E29">
            <v>20348607.051935997</v>
          </cell>
          <cell r="H29">
            <v>39582206.853408001</v>
          </cell>
        </row>
        <row r="32">
          <cell r="B32">
            <v>448682351.02739996</v>
          </cell>
          <cell r="C32">
            <v>559319346.97001839</v>
          </cell>
          <cell r="D32">
            <v>112088552.30528384</v>
          </cell>
          <cell r="E32">
            <v>103706400.796344</v>
          </cell>
          <cell r="F32">
            <v>50202869.768459931</v>
          </cell>
          <cell r="G32">
            <v>1295478.2597040001</v>
          </cell>
          <cell r="H32">
            <v>116828041.09114802</v>
          </cell>
        </row>
        <row r="34">
          <cell r="B34">
            <v>7.1830180952885E-2</v>
          </cell>
          <cell r="C34">
            <v>0.1338476603948065</v>
          </cell>
          <cell r="D34">
            <v>9.4129980508122161E-3</v>
          </cell>
          <cell r="E34">
            <v>0.19621360779742106</v>
          </cell>
        </row>
        <row r="46">
          <cell r="B46">
            <v>40224101.026464015</v>
          </cell>
          <cell r="C46">
            <v>619450343.79199207</v>
          </cell>
          <cell r="D46">
            <v>75668608.302408084</v>
          </cell>
          <cell r="E46">
            <v>32294485.771812003</v>
          </cell>
          <cell r="F46">
            <v>3966718.7536920006</v>
          </cell>
          <cell r="G46">
            <v>0</v>
          </cell>
          <cell r="H46">
            <v>359606.67548400001</v>
          </cell>
        </row>
      </sheetData>
      <sheetData sheetId="3"/>
      <sheetData sheetId="4"/>
      <sheetData sheetId="5"/>
      <sheetData sheetId="6"/>
      <sheetData sheetId="7">
        <row r="21">
          <cell r="B21">
            <v>0.14000000000000001</v>
          </cell>
        </row>
        <row r="38">
          <cell r="B38">
            <v>0.14000000000000001</v>
          </cell>
        </row>
        <row r="53">
          <cell r="B53">
            <v>1.4454598404690098E-2</v>
          </cell>
        </row>
        <row r="69">
          <cell r="B69">
            <v>3.2897311375371923E-3</v>
          </cell>
        </row>
        <row r="85">
          <cell r="B85">
            <v>3.1379021181846055E-3</v>
          </cell>
        </row>
        <row r="101">
          <cell r="B101">
            <v>8.6536712579347809E-4</v>
          </cell>
        </row>
        <row r="117">
          <cell r="B117">
            <v>4.6111330288810771E-3</v>
          </cell>
        </row>
        <row r="133">
          <cell r="B133">
            <v>1.0173269002514309E-2</v>
          </cell>
        </row>
        <row r="149">
          <cell r="B149">
            <v>3.1469078189724402E-3</v>
          </cell>
        </row>
        <row r="165">
          <cell r="B165">
            <v>0.11724888666501114</v>
          </cell>
        </row>
        <row r="182">
          <cell r="B182">
            <v>11108.427040455568</v>
          </cell>
        </row>
        <row r="196">
          <cell r="B196">
            <v>89.589144184769282</v>
          </cell>
        </row>
        <row r="211">
          <cell r="B211">
            <v>66.333819000174756</v>
          </cell>
        </row>
        <row r="227">
          <cell r="B227">
            <v>618.37815703017657</v>
          </cell>
        </row>
        <row r="243">
          <cell r="B243">
            <v>756.14118355785922</v>
          </cell>
        </row>
        <row r="259">
          <cell r="B259">
            <v>387.18425290866372</v>
          </cell>
        </row>
      </sheetData>
      <sheetData sheetId="8">
        <row r="23">
          <cell r="C23">
            <v>94104709.397136003</v>
          </cell>
        </row>
        <row r="24">
          <cell r="C24">
            <v>217756366.50456005</v>
          </cell>
        </row>
        <row r="25">
          <cell r="C25">
            <v>31690316.658816002</v>
          </cell>
        </row>
        <row r="26">
          <cell r="C26">
            <v>295890161.455217</v>
          </cell>
        </row>
        <row r="27">
          <cell r="C27">
            <v>7964266.9002840007</v>
          </cell>
        </row>
        <row r="28">
          <cell r="C28">
            <v>6103876.7118960014</v>
          </cell>
        </row>
        <row r="29">
          <cell r="C29">
            <v>5869919.9999999991</v>
          </cell>
        </row>
        <row r="30">
          <cell r="C30">
            <v>1723321.6812</v>
          </cell>
        </row>
        <row r="31">
          <cell r="C31">
            <v>14264062.07</v>
          </cell>
        </row>
        <row r="32">
          <cell r="C32">
            <v>1811351.6653909092</v>
          </cell>
        </row>
        <row r="33">
          <cell r="C33">
            <v>16574677.634578047</v>
          </cell>
        </row>
        <row r="34">
          <cell r="C34">
            <v>13738800</v>
          </cell>
        </row>
        <row r="35">
          <cell r="C35">
            <v>20288840.790081792</v>
          </cell>
        </row>
        <row r="36">
          <cell r="C36">
            <v>10407030.176671566</v>
          </cell>
        </row>
      </sheetData>
      <sheetData sheetId="9"/>
      <sheetData sheetId="10">
        <row r="12">
          <cell r="D12">
            <v>4610.8049120663009</v>
          </cell>
          <cell r="E12">
            <v>672.93797914886215</v>
          </cell>
          <cell r="F12">
            <v>8581.3649451375659</v>
          </cell>
          <cell r="G12">
            <v>8004.6461626216224</v>
          </cell>
          <cell r="H12">
            <v>2925.8781319432524</v>
          </cell>
          <cell r="I12">
            <v>1989.3278690822026</v>
          </cell>
          <cell r="N12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66">
          <cell r="E66">
            <v>33434965.370000001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2"/>
  <sheetViews>
    <sheetView tabSelected="1" zoomScale="90" zoomScaleNormal="90" workbookViewId="0">
      <selection activeCell="B28" sqref="B28"/>
    </sheetView>
  </sheetViews>
  <sheetFormatPr defaultRowHeight="15.75" x14ac:dyDescent="0.25"/>
  <cols>
    <col min="1" max="1" width="1.5703125" style="33" customWidth="1"/>
    <col min="2" max="2" width="19" style="33" bestFit="1" customWidth="1"/>
    <col min="3" max="3" width="10.5703125" style="33" customWidth="1"/>
    <col min="4" max="4" width="8.5703125" style="33" customWidth="1"/>
    <col min="5" max="5" width="17.28515625" style="33" hidden="1" customWidth="1"/>
    <col min="6" max="6" width="3.7109375" style="33" customWidth="1"/>
    <col min="7" max="7" width="15.140625" style="33" customWidth="1"/>
    <col min="8" max="8" width="3.85546875" style="33" hidden="1" customWidth="1"/>
    <col min="9" max="9" width="12.28515625" style="37" hidden="1" customWidth="1"/>
    <col min="10" max="10" width="3.7109375" style="37" hidden="1" customWidth="1"/>
    <col min="11" max="11" width="14.85546875" style="33" hidden="1" customWidth="1"/>
    <col min="12" max="12" width="3" style="33" hidden="1" customWidth="1"/>
    <col min="13" max="13" width="20.140625" style="33" customWidth="1"/>
    <col min="14" max="14" width="1.85546875" style="33" customWidth="1"/>
    <col min="15" max="15" width="9.140625" style="33"/>
  </cols>
  <sheetData>
    <row r="2" spans="2:13" ht="21" x14ac:dyDescent="0.35">
      <c r="B2" s="147" t="s">
        <v>88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2:13" ht="24" x14ac:dyDescent="0.35">
      <c r="B3" s="147" t="s">
        <v>89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2:13" x14ac:dyDescent="0.25">
      <c r="I4" s="33"/>
      <c r="J4" s="33"/>
    </row>
    <row r="5" spans="2:13" ht="18" x14ac:dyDescent="0.25">
      <c r="E5" s="34" t="s">
        <v>90</v>
      </c>
      <c r="G5" s="34"/>
      <c r="I5" s="33"/>
      <c r="J5" s="33"/>
      <c r="M5" s="34" t="s">
        <v>91</v>
      </c>
    </row>
    <row r="6" spans="2:13" ht="16.5" x14ac:dyDescent="0.25">
      <c r="D6" s="35"/>
      <c r="E6" s="36" t="s">
        <v>92</v>
      </c>
      <c r="G6" s="36"/>
      <c r="I6" s="36" t="s">
        <v>93</v>
      </c>
      <c r="K6" s="36" t="s">
        <v>94</v>
      </c>
      <c r="L6" s="36"/>
      <c r="M6" s="36" t="s">
        <v>95</v>
      </c>
    </row>
    <row r="7" spans="2:13" ht="18.75" x14ac:dyDescent="0.3">
      <c r="B7" s="38" t="s">
        <v>96</v>
      </c>
      <c r="D7" s="35"/>
      <c r="E7" s="34" t="s">
        <v>94</v>
      </c>
      <c r="G7" s="34"/>
      <c r="I7" s="34" t="s">
        <v>97</v>
      </c>
      <c r="K7" s="34" t="s">
        <v>98</v>
      </c>
      <c r="L7" s="34"/>
      <c r="M7" s="34" t="s">
        <v>94</v>
      </c>
    </row>
    <row r="8" spans="2:13" ht="16.5" x14ac:dyDescent="0.25">
      <c r="D8" s="35"/>
      <c r="E8" s="39"/>
      <c r="G8" s="37"/>
      <c r="K8" s="37"/>
      <c r="L8" s="37"/>
    </row>
    <row r="9" spans="2:13" ht="16.5" x14ac:dyDescent="0.25">
      <c r="B9" s="40" t="s">
        <v>99</v>
      </c>
      <c r="C9" s="40" t="s">
        <v>6</v>
      </c>
      <c r="D9" s="35"/>
      <c r="E9" s="41">
        <v>0.26</v>
      </c>
      <c r="F9" s="41"/>
      <c r="G9" s="42"/>
      <c r="I9" s="42">
        <v>-8.0000000000000071E-3</v>
      </c>
      <c r="K9" s="42">
        <v>-0.03</v>
      </c>
      <c r="L9" s="42"/>
      <c r="M9" s="42">
        <v>0.30399999999999999</v>
      </c>
    </row>
    <row r="10" spans="2:13" ht="16.5" x14ac:dyDescent="0.25">
      <c r="B10" s="40" t="s">
        <v>100</v>
      </c>
      <c r="C10" s="40" t="s">
        <v>101</v>
      </c>
      <c r="D10" s="35"/>
      <c r="E10" s="41">
        <v>0.29199999999999998</v>
      </c>
      <c r="F10" s="41"/>
      <c r="G10" s="42"/>
      <c r="I10" s="42">
        <v>-0.01</v>
      </c>
      <c r="K10" s="42">
        <v>-3.3000000000000002E-2</v>
      </c>
      <c r="L10" s="42"/>
      <c r="M10" s="42">
        <v>0.37</v>
      </c>
    </row>
    <row r="11" spans="2:13" ht="16.5" x14ac:dyDescent="0.25">
      <c r="B11" s="40" t="s">
        <v>102</v>
      </c>
      <c r="C11" s="40" t="s">
        <v>103</v>
      </c>
      <c r="D11" s="35"/>
      <c r="E11" s="41">
        <v>0.36699999999999999</v>
      </c>
      <c r="F11" s="41"/>
      <c r="G11" s="42"/>
      <c r="I11" s="42">
        <v>-5.0000000000000001E-3</v>
      </c>
      <c r="K11" s="42">
        <v>-1.2999999999999999E-2</v>
      </c>
      <c r="L11" s="42"/>
      <c r="M11" s="42">
        <v>0.51</v>
      </c>
    </row>
    <row r="12" spans="2:13" ht="16.5" x14ac:dyDescent="0.25">
      <c r="B12" s="40" t="s">
        <v>104</v>
      </c>
      <c r="C12" s="40" t="s">
        <v>105</v>
      </c>
      <c r="D12" s="35"/>
      <c r="E12" s="41">
        <v>0.14799999999999999</v>
      </c>
      <c r="F12" s="41"/>
      <c r="G12" s="42"/>
      <c r="I12" s="42">
        <v>-8.0000000000000071E-3</v>
      </c>
      <c r="K12" s="42">
        <v>-5.0999999999999997E-2</v>
      </c>
      <c r="L12" s="42"/>
      <c r="M12" s="42">
        <v>0.16300000000000001</v>
      </c>
    </row>
    <row r="13" spans="2:13" ht="16.5" x14ac:dyDescent="0.25">
      <c r="B13" s="40" t="s">
        <v>106</v>
      </c>
      <c r="C13" s="40" t="s">
        <v>107</v>
      </c>
      <c r="D13" s="35"/>
      <c r="E13" s="41">
        <v>1.4000000000000002E-2</v>
      </c>
      <c r="F13" s="41"/>
      <c r="G13" s="42"/>
      <c r="I13" s="42">
        <v>0</v>
      </c>
      <c r="K13" s="42">
        <v>0</v>
      </c>
      <c r="L13" s="42"/>
      <c r="M13" s="42">
        <v>8.0000000000000002E-3</v>
      </c>
    </row>
    <row r="14" spans="2:13" ht="16.5" x14ac:dyDescent="0.25">
      <c r="B14" s="40" t="s">
        <v>108</v>
      </c>
      <c r="C14" s="40" t="s">
        <v>109</v>
      </c>
      <c r="D14" s="35"/>
      <c r="E14" s="41">
        <v>4.4000000000000004E-2</v>
      </c>
      <c r="F14" s="41"/>
      <c r="G14" s="42"/>
      <c r="I14" s="42">
        <v>2.0000000000000018E-3</v>
      </c>
      <c r="K14" s="42">
        <v>4.8000000000000001E-2</v>
      </c>
      <c r="L14" s="42"/>
      <c r="M14" s="42">
        <v>0.04</v>
      </c>
    </row>
    <row r="15" spans="2:13" ht="16.5" x14ac:dyDescent="0.25">
      <c r="B15" s="40" t="s">
        <v>110</v>
      </c>
      <c r="C15" s="40" t="s">
        <v>111</v>
      </c>
      <c r="D15" s="35"/>
      <c r="E15" s="41">
        <v>0.1</v>
      </c>
      <c r="F15" s="41"/>
      <c r="G15" s="42"/>
      <c r="H15" s="42"/>
      <c r="I15" s="42">
        <v>2.9000000000000012E-2</v>
      </c>
      <c r="K15" s="42">
        <v>0.40799999999999997</v>
      </c>
      <c r="L15" s="42"/>
      <c r="M15" s="42">
        <v>0.13</v>
      </c>
    </row>
    <row r="16" spans="2:13" ht="16.5" x14ac:dyDescent="0.25">
      <c r="B16" s="40"/>
      <c r="C16" s="40"/>
      <c r="E16" s="42"/>
      <c r="F16" s="41"/>
      <c r="G16" s="42"/>
      <c r="I16" s="42"/>
      <c r="K16" s="43"/>
      <c r="L16" s="43"/>
      <c r="M16" s="42"/>
    </row>
    <row r="17" spans="2:13" ht="18" x14ac:dyDescent="0.25">
      <c r="B17" s="44"/>
      <c r="D17" s="35"/>
      <c r="E17" s="34" t="s">
        <v>90</v>
      </c>
      <c r="G17" s="34"/>
      <c r="I17" s="42"/>
      <c r="K17" s="37"/>
      <c r="L17" s="37"/>
      <c r="M17" s="34" t="s">
        <v>91</v>
      </c>
    </row>
    <row r="18" spans="2:13" ht="16.5" x14ac:dyDescent="0.25">
      <c r="B18" s="44"/>
      <c r="D18" s="35"/>
      <c r="E18" s="36" t="s">
        <v>92</v>
      </c>
      <c r="F18" s="36"/>
      <c r="G18" s="36"/>
      <c r="I18" s="36" t="s">
        <v>93</v>
      </c>
      <c r="K18" s="36" t="s">
        <v>94</v>
      </c>
      <c r="L18" s="36"/>
      <c r="M18" s="36" t="s">
        <v>95</v>
      </c>
    </row>
    <row r="19" spans="2:13" ht="16.5" x14ac:dyDescent="0.25">
      <c r="B19" s="45" t="s">
        <v>112</v>
      </c>
      <c r="D19" s="35"/>
      <c r="E19" s="34" t="s">
        <v>94</v>
      </c>
      <c r="F19" s="34"/>
      <c r="G19" s="34"/>
      <c r="I19" s="34" t="s">
        <v>97</v>
      </c>
      <c r="K19" s="34" t="s">
        <v>98</v>
      </c>
      <c r="L19" s="34"/>
      <c r="M19" s="34" t="s">
        <v>94</v>
      </c>
    </row>
    <row r="20" spans="2:13" ht="16.5" x14ac:dyDescent="0.25">
      <c r="D20" s="35"/>
      <c r="E20" s="39"/>
      <c r="F20" s="39"/>
      <c r="G20" s="37"/>
      <c r="I20" s="42"/>
      <c r="K20" s="37"/>
      <c r="L20" s="37"/>
      <c r="M20" s="42"/>
    </row>
    <row r="21" spans="2:13" ht="16.5" x14ac:dyDescent="0.25">
      <c r="B21" s="40" t="s">
        <v>113</v>
      </c>
      <c r="C21" s="40" t="s">
        <v>6</v>
      </c>
      <c r="D21" s="46"/>
      <c r="E21" s="47">
        <v>0.311</v>
      </c>
      <c r="F21" s="41"/>
      <c r="G21" s="42"/>
      <c r="I21" s="42">
        <v>-0.01</v>
      </c>
      <c r="K21" s="42">
        <v>-3.1E-2</v>
      </c>
      <c r="L21" s="42"/>
      <c r="M21" s="42">
        <v>0.39300000000000002</v>
      </c>
    </row>
    <row r="22" spans="2:13" ht="16.5" x14ac:dyDescent="0.25">
      <c r="B22" s="40" t="s">
        <v>114</v>
      </c>
      <c r="C22" s="40" t="s">
        <v>101</v>
      </c>
      <c r="D22" s="35"/>
      <c r="E22" s="47">
        <v>0.25700000000000001</v>
      </c>
      <c r="F22" s="41"/>
      <c r="G22" s="42"/>
      <c r="I22" s="42">
        <v>-0.02</v>
      </c>
      <c r="K22" s="42">
        <v>-7.1999999999999995E-2</v>
      </c>
      <c r="L22" s="42"/>
      <c r="M22" s="42">
        <v>0.34300000000000003</v>
      </c>
    </row>
    <row r="23" spans="2:13" ht="16.5" x14ac:dyDescent="0.25">
      <c r="B23" s="40" t="s">
        <v>115</v>
      </c>
      <c r="C23" s="40" t="s">
        <v>103</v>
      </c>
      <c r="D23" s="35"/>
      <c r="E23" s="47">
        <v>0.35299999999999998</v>
      </c>
      <c r="F23" s="41"/>
      <c r="G23" s="42"/>
      <c r="I23" s="42">
        <v>-3.9000000000000035E-2</v>
      </c>
      <c r="K23" s="42">
        <v>-9.9000000000000005E-2</v>
      </c>
      <c r="L23" s="42"/>
      <c r="M23" s="42">
        <v>0.51800000000000002</v>
      </c>
    </row>
    <row r="24" spans="2:13" ht="16.5" x14ac:dyDescent="0.25">
      <c r="B24" s="40" t="s">
        <v>116</v>
      </c>
      <c r="C24" s="40" t="s">
        <v>105</v>
      </c>
      <c r="D24" s="35"/>
      <c r="E24" s="47">
        <v>0.14899999999999999</v>
      </c>
      <c r="F24" s="41"/>
      <c r="G24" s="42"/>
      <c r="I24" s="42">
        <v>-7.0000000000000062E-3</v>
      </c>
      <c r="K24" s="42">
        <v>-4.4999999999999998E-2</v>
      </c>
      <c r="L24" s="42"/>
      <c r="M24" s="42">
        <v>0.16900000000000001</v>
      </c>
    </row>
    <row r="25" spans="2:13" ht="16.5" x14ac:dyDescent="0.25">
      <c r="B25" s="40" t="s">
        <v>117</v>
      </c>
      <c r="C25" s="40" t="s">
        <v>107</v>
      </c>
      <c r="D25" s="35"/>
      <c r="E25" s="47">
        <v>1.4000000000000002E-2</v>
      </c>
      <c r="F25" s="41"/>
      <c r="G25" s="42"/>
      <c r="I25" s="42">
        <v>0</v>
      </c>
      <c r="K25" s="42">
        <v>0</v>
      </c>
      <c r="L25" s="42"/>
      <c r="M25" s="42">
        <v>1.2999999999999999E-2</v>
      </c>
    </row>
    <row r="26" spans="2:13" ht="16.5" x14ac:dyDescent="0.25">
      <c r="B26" s="40" t="s">
        <v>118</v>
      </c>
      <c r="C26" s="40" t="s">
        <v>109</v>
      </c>
      <c r="D26" s="35"/>
      <c r="E26" s="41">
        <v>4.4000000000000004E-2</v>
      </c>
      <c r="F26" s="41"/>
      <c r="G26" s="42"/>
      <c r="I26" s="42">
        <v>2.0000000000000018E-3</v>
      </c>
      <c r="K26" s="42">
        <v>4.8000000000000001E-2</v>
      </c>
      <c r="L26" s="42"/>
      <c r="M26" s="42">
        <v>0.04</v>
      </c>
    </row>
    <row r="27" spans="2:13" ht="16.5" x14ac:dyDescent="0.25">
      <c r="B27" s="40" t="s">
        <v>119</v>
      </c>
      <c r="C27" s="40" t="s">
        <v>111</v>
      </c>
      <c r="D27" s="35"/>
      <c r="E27" s="41">
        <v>0.10400000000000001</v>
      </c>
      <c r="F27" s="41"/>
      <c r="G27" s="42"/>
      <c r="I27" s="42">
        <v>0.03</v>
      </c>
      <c r="K27" s="42">
        <v>0.40500000000000003</v>
      </c>
      <c r="L27" s="42"/>
      <c r="M27" s="42">
        <v>0.13100000000000001</v>
      </c>
    </row>
    <row r="28" spans="2:13" ht="16.5" x14ac:dyDescent="0.25">
      <c r="B28" s="40"/>
      <c r="C28" s="40"/>
      <c r="D28" s="35"/>
      <c r="E28" s="41"/>
      <c r="F28" s="41"/>
      <c r="G28" s="42"/>
      <c r="I28" s="42"/>
      <c r="K28" s="42"/>
      <c r="L28" s="42"/>
      <c r="M28" s="42"/>
    </row>
    <row r="29" spans="2:13" ht="18" x14ac:dyDescent="0.25">
      <c r="B29" s="48"/>
      <c r="C29" s="49"/>
      <c r="D29" s="50"/>
      <c r="E29" s="49"/>
      <c r="F29" s="47"/>
      <c r="G29" s="51"/>
      <c r="H29" s="49"/>
      <c r="I29" s="51"/>
      <c r="J29" s="52"/>
      <c r="K29" s="53"/>
      <c r="L29" s="53"/>
      <c r="M29" s="34" t="s">
        <v>124</v>
      </c>
    </row>
    <row r="30" spans="2:13" ht="16.5" x14ac:dyDescent="0.25">
      <c r="B30" s="48"/>
      <c r="C30" s="48"/>
      <c r="D30" s="50"/>
      <c r="E30" s="47"/>
      <c r="F30" s="47"/>
      <c r="G30" s="51"/>
      <c r="H30" s="49"/>
      <c r="I30" s="51"/>
      <c r="J30" s="52"/>
      <c r="K30" s="53"/>
      <c r="L30" s="53"/>
      <c r="M30" s="54" t="s">
        <v>95</v>
      </c>
    </row>
    <row r="31" spans="2:13" ht="18" x14ac:dyDescent="0.25">
      <c r="B31" s="55" t="s">
        <v>120</v>
      </c>
      <c r="C31" s="49"/>
      <c r="D31" s="56"/>
      <c r="E31" s="57" t="s">
        <v>94</v>
      </c>
      <c r="F31" s="57"/>
      <c r="G31" s="57"/>
      <c r="H31" s="49"/>
      <c r="I31" s="57" t="s">
        <v>97</v>
      </c>
      <c r="J31" s="52"/>
      <c r="K31" s="57" t="s">
        <v>98</v>
      </c>
      <c r="L31" s="57"/>
      <c r="M31" s="57" t="s">
        <v>94</v>
      </c>
    </row>
    <row r="32" spans="2:13" ht="16.5" x14ac:dyDescent="0.25">
      <c r="B32" s="49"/>
      <c r="C32" s="49"/>
      <c r="D32" s="50"/>
      <c r="E32" s="58"/>
      <c r="F32" s="58"/>
      <c r="G32" s="52"/>
      <c r="H32" s="49"/>
      <c r="I32" s="51"/>
      <c r="J32" s="52"/>
      <c r="K32" s="52"/>
      <c r="L32" s="52"/>
      <c r="M32" s="51"/>
    </row>
    <row r="33" spans="2:13" ht="16.5" x14ac:dyDescent="0.25">
      <c r="B33" s="48" t="s">
        <v>99</v>
      </c>
      <c r="C33" s="48" t="s">
        <v>6</v>
      </c>
      <c r="D33" s="59"/>
      <c r="E33" s="47">
        <v>0.311</v>
      </c>
      <c r="F33" s="47"/>
      <c r="G33" s="51"/>
      <c r="H33" s="49"/>
      <c r="I33" s="51">
        <v>-0.01</v>
      </c>
      <c r="J33" s="52"/>
      <c r="K33" s="51">
        <v>-3.1E-2</v>
      </c>
      <c r="L33" s="51"/>
      <c r="M33" s="41">
        <v>0.29099999999999998</v>
      </c>
    </row>
    <row r="34" spans="2:13" ht="16.5" x14ac:dyDescent="0.25">
      <c r="B34" s="48" t="s">
        <v>100</v>
      </c>
      <c r="C34" s="48" t="s">
        <v>7</v>
      </c>
      <c r="D34" s="50"/>
      <c r="E34" s="47">
        <v>0.25700000000000001</v>
      </c>
      <c r="F34" s="47"/>
      <c r="G34" s="51"/>
      <c r="H34" s="49"/>
      <c r="I34" s="51">
        <v>-0.02</v>
      </c>
      <c r="J34" s="52"/>
      <c r="K34" s="51">
        <v>-7.1999999999999995E-2</v>
      </c>
      <c r="L34" s="51"/>
      <c r="M34" s="41">
        <v>0.373</v>
      </c>
    </row>
    <row r="35" spans="2:13" ht="16.5" x14ac:dyDescent="0.25">
      <c r="B35" s="48" t="s">
        <v>102</v>
      </c>
      <c r="C35" s="48" t="s">
        <v>103</v>
      </c>
      <c r="D35" s="50"/>
      <c r="E35" s="47">
        <v>0.35299999999999998</v>
      </c>
      <c r="F35" s="47"/>
      <c r="G35" s="51"/>
      <c r="H35" s="49"/>
      <c r="I35" s="51">
        <v>-3.9000000000000035E-2</v>
      </c>
      <c r="J35" s="52"/>
      <c r="K35" s="51">
        <v>-9.9000000000000005E-2</v>
      </c>
      <c r="L35" s="51"/>
      <c r="M35" s="41">
        <v>0.52300000000000002</v>
      </c>
    </row>
    <row r="36" spans="2:13" ht="16.5" x14ac:dyDescent="0.25">
      <c r="B36" s="48" t="s">
        <v>104</v>
      </c>
      <c r="C36" s="48" t="s">
        <v>105</v>
      </c>
      <c r="D36" s="50"/>
      <c r="E36" s="47">
        <v>0.14899999999999999</v>
      </c>
      <c r="F36" s="47"/>
      <c r="G36" s="51"/>
      <c r="H36" s="49"/>
      <c r="I36" s="51">
        <v>-7.0000000000000062E-3</v>
      </c>
      <c r="J36" s="52"/>
      <c r="K36" s="51">
        <v>-4.4999999999999998E-2</v>
      </c>
      <c r="L36" s="51"/>
      <c r="M36" s="41">
        <v>0.16300000000000001</v>
      </c>
    </row>
    <row r="37" spans="2:13" ht="16.5" x14ac:dyDescent="0.25">
      <c r="B37" s="48" t="s">
        <v>106</v>
      </c>
      <c r="C37" s="48" t="s">
        <v>121</v>
      </c>
      <c r="D37" s="50"/>
      <c r="E37" s="47">
        <v>1.4000000000000002E-2</v>
      </c>
      <c r="F37" s="47"/>
      <c r="G37" s="51"/>
      <c r="H37" s="49"/>
      <c r="I37" s="51">
        <v>0</v>
      </c>
      <c r="J37" s="52"/>
      <c r="K37" s="51">
        <v>0</v>
      </c>
      <c r="L37" s="51"/>
      <c r="M37" s="41">
        <v>0.114</v>
      </c>
    </row>
    <row r="38" spans="2:13" ht="16.5" x14ac:dyDescent="0.25">
      <c r="B38" s="40"/>
      <c r="C38" s="40"/>
      <c r="D38" s="35"/>
      <c r="E38" s="41"/>
      <c r="F38" s="41"/>
      <c r="G38" s="42"/>
      <c r="I38" s="42"/>
      <c r="K38" s="42"/>
      <c r="L38" s="42"/>
      <c r="M38" s="42"/>
    </row>
    <row r="39" spans="2:13" ht="18" x14ac:dyDescent="0.25">
      <c r="B39" s="60" t="s">
        <v>122</v>
      </c>
      <c r="C39" s="40"/>
      <c r="D39" s="61"/>
      <c r="I39" s="33"/>
      <c r="J39" s="33"/>
    </row>
    <row r="40" spans="2:13" ht="19.5" x14ac:dyDescent="0.25">
      <c r="B40" s="60" t="s">
        <v>123</v>
      </c>
      <c r="D40" s="46"/>
      <c r="I40" s="33"/>
      <c r="J40" s="33"/>
    </row>
    <row r="41" spans="2:13" ht="16.5" x14ac:dyDescent="0.25">
      <c r="B41" s="40"/>
      <c r="C41" s="40"/>
      <c r="I41" s="33"/>
      <c r="J41" s="33"/>
    </row>
    <row r="42" spans="2:13" ht="16.5" x14ac:dyDescent="0.25">
      <c r="B42" s="40"/>
      <c r="C42" s="40"/>
      <c r="D42" s="46"/>
      <c r="I42" s="33"/>
      <c r="J42" s="33"/>
    </row>
    <row r="43" spans="2:13" ht="16.5" x14ac:dyDescent="0.25">
      <c r="B43" s="40"/>
      <c r="C43" s="40"/>
      <c r="D43" s="46"/>
      <c r="K43" s="43"/>
      <c r="L43" s="43"/>
    </row>
    <row r="44" spans="2:13" ht="16.5" x14ac:dyDescent="0.25">
      <c r="B44" s="40"/>
      <c r="C44" s="40"/>
      <c r="D44" s="46"/>
      <c r="K44" s="43"/>
      <c r="L44" s="43"/>
    </row>
    <row r="45" spans="2:13" ht="16.5" x14ac:dyDescent="0.25">
      <c r="B45" s="40"/>
      <c r="C45" s="40"/>
      <c r="D45" s="46"/>
      <c r="K45" s="37"/>
      <c r="L45" s="37"/>
    </row>
    <row r="46" spans="2:13" ht="16.5" x14ac:dyDescent="0.25">
      <c r="B46" s="40"/>
      <c r="C46" s="40"/>
      <c r="D46" s="46"/>
      <c r="K46" s="43"/>
      <c r="L46" s="43"/>
    </row>
    <row r="47" spans="2:13" ht="16.5" x14ac:dyDescent="0.25">
      <c r="B47" s="40"/>
      <c r="C47" s="40"/>
      <c r="D47" s="46"/>
      <c r="G47" s="42"/>
      <c r="K47" s="43"/>
      <c r="L47" s="43"/>
    </row>
    <row r="48" spans="2:13" ht="16.5" x14ac:dyDescent="0.25">
      <c r="B48" s="40"/>
      <c r="C48" s="40"/>
      <c r="D48" s="46"/>
      <c r="E48" s="41"/>
      <c r="G48" s="42"/>
      <c r="K48" s="43"/>
      <c r="L48" s="43"/>
    </row>
    <row r="49" spans="2:12" ht="16.5" x14ac:dyDescent="0.25">
      <c r="B49" s="40"/>
      <c r="C49" s="40"/>
      <c r="D49" s="46"/>
      <c r="E49" s="41"/>
      <c r="G49" s="42"/>
      <c r="K49" s="43"/>
      <c r="L49" s="43"/>
    </row>
    <row r="50" spans="2:12" ht="16.5" x14ac:dyDescent="0.25">
      <c r="B50" s="40"/>
      <c r="C50" s="40"/>
      <c r="D50" s="46"/>
      <c r="E50" s="41"/>
      <c r="G50" s="42"/>
      <c r="J50" s="43"/>
    </row>
    <row r="51" spans="2:12" ht="16.5" x14ac:dyDescent="0.25">
      <c r="B51" s="40"/>
      <c r="C51" s="40"/>
      <c r="D51" s="46"/>
      <c r="E51" s="41"/>
      <c r="G51" s="42"/>
      <c r="J51" s="43"/>
    </row>
    <row r="52" spans="2:12" ht="16.5" x14ac:dyDescent="0.25">
      <c r="B52" s="40"/>
      <c r="C52" s="40"/>
      <c r="D52" s="46"/>
      <c r="E52" s="41"/>
      <c r="G52" s="42"/>
      <c r="J52" s="43"/>
    </row>
    <row r="53" spans="2:12" ht="16.5" x14ac:dyDescent="0.25">
      <c r="B53" s="40"/>
      <c r="C53" s="40"/>
      <c r="D53" s="46"/>
      <c r="E53" s="41"/>
      <c r="G53" s="42"/>
      <c r="J53" s="33"/>
    </row>
    <row r="54" spans="2:12" ht="16.5" x14ac:dyDescent="0.25">
      <c r="D54" s="35"/>
      <c r="G54" s="37"/>
      <c r="I54" s="33"/>
      <c r="J54" s="33"/>
    </row>
    <row r="55" spans="2:12" ht="16.5" x14ac:dyDescent="0.25">
      <c r="D55" s="35"/>
      <c r="G55" s="37"/>
      <c r="I55" s="33"/>
      <c r="J55" s="33"/>
    </row>
    <row r="56" spans="2:12" ht="16.5" x14ac:dyDescent="0.25">
      <c r="D56" s="35"/>
      <c r="G56" s="37"/>
      <c r="I56" s="33"/>
      <c r="J56" s="33"/>
    </row>
    <row r="57" spans="2:12" ht="16.5" x14ac:dyDescent="0.25">
      <c r="D57" s="35"/>
      <c r="G57" s="37"/>
      <c r="I57" s="33"/>
      <c r="J57" s="33"/>
    </row>
    <row r="58" spans="2:12" ht="16.5" x14ac:dyDescent="0.25">
      <c r="D58" s="35"/>
      <c r="G58" s="37"/>
      <c r="I58" s="33"/>
      <c r="J58" s="33"/>
    </row>
    <row r="59" spans="2:12" ht="16.5" x14ac:dyDescent="0.25">
      <c r="D59" s="35"/>
      <c r="G59" s="37"/>
      <c r="I59" s="33"/>
      <c r="J59" s="33"/>
    </row>
    <row r="60" spans="2:12" ht="16.5" x14ac:dyDescent="0.25">
      <c r="D60" s="35"/>
      <c r="G60" s="37"/>
      <c r="I60" s="33"/>
      <c r="J60" s="33"/>
    </row>
    <row r="61" spans="2:12" ht="16.5" x14ac:dyDescent="0.25">
      <c r="D61" s="35"/>
      <c r="G61" s="37"/>
      <c r="I61" s="33"/>
      <c r="J61" s="33"/>
    </row>
    <row r="62" spans="2:12" ht="16.5" x14ac:dyDescent="0.25">
      <c r="D62" s="35"/>
      <c r="G62" s="37"/>
      <c r="I62" s="33"/>
      <c r="J62" s="33"/>
    </row>
  </sheetData>
  <mergeCells count="2">
    <mergeCell ref="B2:M2"/>
    <mergeCell ref="B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9"/>
  <sheetViews>
    <sheetView zoomScale="85" zoomScaleNormal="85" workbookViewId="0">
      <selection activeCell="M43" sqref="M43"/>
    </sheetView>
  </sheetViews>
  <sheetFormatPr defaultColWidth="12.5703125" defaultRowHeight="15.75" x14ac:dyDescent="0.25"/>
  <cols>
    <col min="1" max="1" width="2.140625" style="63" customWidth="1"/>
    <col min="2" max="2" width="30.7109375" style="63" customWidth="1"/>
    <col min="3" max="3" width="19" style="63" customWidth="1"/>
    <col min="4" max="4" width="0.28515625" style="63" customWidth="1"/>
    <col min="5" max="5" width="19" style="63" customWidth="1"/>
    <col min="6" max="6" width="0.28515625" style="63" customWidth="1"/>
    <col min="7" max="7" width="19" style="63" customWidth="1"/>
    <col min="8" max="8" width="0.28515625" style="63" customWidth="1"/>
    <col min="9" max="9" width="19" style="63" customWidth="1"/>
    <col min="10" max="10" width="0.28515625" style="63" customWidth="1"/>
    <col min="11" max="11" width="19" style="63" customWidth="1"/>
    <col min="12" max="12" width="0.28515625" style="63" customWidth="1"/>
    <col min="13" max="13" width="20.42578125" style="63" customWidth="1"/>
    <col min="14" max="14" width="0.28515625" style="63" customWidth="1"/>
    <col min="15" max="15" width="17" style="63" customWidth="1"/>
    <col min="16" max="16" width="8.140625" style="63" customWidth="1"/>
    <col min="17" max="16384" width="12.5703125" style="63"/>
  </cols>
  <sheetData>
    <row r="1" spans="2:15" x14ac:dyDescent="0.25">
      <c r="B1" s="148" t="s">
        <v>302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62"/>
    </row>
    <row r="2" spans="2:15" x14ac:dyDescent="0.25">
      <c r="B2" s="148" t="s">
        <v>125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62"/>
    </row>
    <row r="3" spans="2:15" x14ac:dyDescent="0.25">
      <c r="B3" s="64"/>
    </row>
    <row r="4" spans="2:15" x14ac:dyDescent="0.25">
      <c r="B4" s="33"/>
      <c r="C4" s="65" t="s">
        <v>99</v>
      </c>
      <c r="D4" s="66"/>
      <c r="E4" s="66" t="s">
        <v>100</v>
      </c>
      <c r="F4" s="66"/>
      <c r="G4" s="66" t="s">
        <v>102</v>
      </c>
      <c r="H4" s="66"/>
      <c r="I4" s="66" t="s">
        <v>104</v>
      </c>
      <c r="J4" s="66"/>
      <c r="K4" s="66" t="s">
        <v>106</v>
      </c>
      <c r="L4" s="66"/>
      <c r="M4" s="66" t="s">
        <v>108</v>
      </c>
      <c r="N4" s="66"/>
      <c r="O4" s="67" t="s">
        <v>110</v>
      </c>
    </row>
    <row r="5" spans="2:15" x14ac:dyDescent="0.25">
      <c r="B5" s="33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</row>
    <row r="6" spans="2:15" x14ac:dyDescent="0.25">
      <c r="B6" s="33"/>
      <c r="C6" s="71" t="s">
        <v>126</v>
      </c>
      <c r="D6" s="72"/>
      <c r="E6" s="72" t="s">
        <v>127</v>
      </c>
      <c r="F6" s="72"/>
      <c r="G6" s="72" t="s">
        <v>128</v>
      </c>
      <c r="H6" s="72"/>
      <c r="I6" s="72" t="s">
        <v>129</v>
      </c>
      <c r="J6" s="72"/>
      <c r="K6" s="72" t="s">
        <v>130</v>
      </c>
      <c r="L6" s="72"/>
      <c r="M6" s="72" t="s">
        <v>131</v>
      </c>
      <c r="N6" s="72"/>
      <c r="O6" s="73" t="s">
        <v>132</v>
      </c>
    </row>
    <row r="7" spans="2:15" x14ac:dyDescent="0.25">
      <c r="B7" s="33"/>
    </row>
    <row r="8" spans="2:15" x14ac:dyDescent="0.25">
      <c r="B8" s="74" t="s">
        <v>38</v>
      </c>
      <c r="C8" s="75">
        <f>ROUND(((fy16_summary_bnft_projection!D18-fy16_summary_bnft_projection!D52)/fy16_summary_bnft_projection!$D$43),3)</f>
        <v>0.14000000000000001</v>
      </c>
      <c r="D8" s="75"/>
      <c r="E8" s="75">
        <f>ROUND(((fy16_summary_bnft_projection!F18-fy16_summary_bnft_projection!E52)/fy16_summary_bnft_projection!$F$43),3)</f>
        <v>0</v>
      </c>
      <c r="F8" s="75"/>
      <c r="G8" s="75">
        <f>ROUND(((fy16_summary_bnft_projection!H18-fy16_summary_bnft_projection!F52)/fy16_summary_bnft_projection!$H$43),3)</f>
        <v>0</v>
      </c>
      <c r="H8" s="75"/>
      <c r="I8" s="75">
        <f>ROUND(((fy16_summary_bnft_projection!J18-fy16_summary_bnft_projection!G52)/fy16_summary_bnft_projection!$J$43),3)</f>
        <v>0.14000000000000001</v>
      </c>
      <c r="J8" s="75"/>
      <c r="K8" s="75">
        <f>ROUND(((fy16_summary_bnft_projection!L18-fy16_summary_bnft_projection!H52)/fy16_summary_bnft_projection!$L$43),3)</f>
        <v>0</v>
      </c>
      <c r="L8" s="75"/>
      <c r="M8" s="75">
        <f>ROUND(((fy16_summary_bnft_projection!N18-fy16_summary_bnft_projection!H52)/fy16_summary_bnft_projection!$N$43),3)</f>
        <v>0</v>
      </c>
      <c r="N8" s="75"/>
      <c r="O8" s="75">
        <f>ROUND(((fy16_summary_bnft_projection!P18)/fy16_summary_bnft_projection!$P$43),3)</f>
        <v>0</v>
      </c>
    </row>
    <row r="9" spans="2:15" x14ac:dyDescent="0.25">
      <c r="B9" s="76" t="s">
        <v>40</v>
      </c>
      <c r="C9" s="75">
        <f>ROUND(((fy16_summary_bnft_projection!D19-fy16_summary_bnft_projection!D53)/fy16_summary_bnft_projection!$D$43),3)</f>
        <v>0</v>
      </c>
      <c r="D9" s="75"/>
      <c r="E9" s="75">
        <f>ROUND(((fy16_summary_bnft_projection!F19-fy16_summary_bnft_projection!E53)/fy16_summary_bnft_projection!$F$43),3)</f>
        <v>0.14000000000000001</v>
      </c>
      <c r="F9" s="75"/>
      <c r="G9" s="75">
        <f>ROUND(((fy16_summary_bnft_projection!H19-fy16_summary_bnft_projection!F53)/fy16_summary_bnft_projection!$H$43),3)</f>
        <v>0.14000000000000001</v>
      </c>
      <c r="H9" s="75"/>
      <c r="I9" s="75">
        <f>ROUND(((fy16_summary_bnft_projection!J19-fy16_summary_bnft_projection!G53)/fy16_summary_bnft_projection!$J$43),3)</f>
        <v>0</v>
      </c>
      <c r="J9" s="75"/>
      <c r="K9" s="75">
        <f>ROUND(((fy16_summary_bnft_projection!L19-fy16_summary_bnft_projection!H53)/fy16_summary_bnft_projection!$L$43),3)</f>
        <v>0</v>
      </c>
      <c r="L9" s="75"/>
      <c r="M9" s="75">
        <f>ROUND(((fy16_summary_bnft_projection!N19-fy16_summary_bnft_projection!H53)/fy16_summary_bnft_projection!$N$43),3)</f>
        <v>0</v>
      </c>
      <c r="N9" s="75"/>
      <c r="O9" s="75">
        <f>ROUND(((fy16_summary_bnft_projection!P19)/fy16_summary_bnft_projection!$P$43),3)</f>
        <v>0</v>
      </c>
    </row>
    <row r="10" spans="2:15" x14ac:dyDescent="0.25">
      <c r="B10" s="76" t="s">
        <v>133</v>
      </c>
      <c r="C10" s="75">
        <f>ROUND(((fy16_summary_bnft_projection!D20-fy16_summary_bnft_projection!D54)/fy16_summary_bnft_projection!$D$43),3)</f>
        <v>1.4E-2</v>
      </c>
      <c r="D10" s="75"/>
      <c r="E10" s="75">
        <f>ROUND(((fy16_summary_bnft_projection!F20-fy16_summary_bnft_projection!E54)/fy16_summary_bnft_projection!$F$43),3)</f>
        <v>1.4E-2</v>
      </c>
      <c r="F10" s="75"/>
      <c r="G10" s="75">
        <f>ROUND(((fy16_summary_bnft_projection!H20-fy16_summary_bnft_projection!F54)/fy16_summary_bnft_projection!$H$43),3)</f>
        <v>1.4E-2</v>
      </c>
      <c r="H10" s="75"/>
      <c r="I10" s="75">
        <f>ROUND(((fy16_summary_bnft_projection!J20-fy16_summary_bnft_projection!G54)/fy16_summary_bnft_projection!$J$43),3)</f>
        <v>1.4E-2</v>
      </c>
      <c r="J10" s="75"/>
      <c r="K10" s="75">
        <f>ROUND(((fy16_summary_bnft_projection!L20-fy16_summary_bnft_projection!H54)/fy16_summary_bnft_projection!$L$43),3)</f>
        <v>0</v>
      </c>
      <c r="L10" s="75"/>
      <c r="M10" s="75">
        <f>ROUND(((fy16_summary_bnft_projection!N20-fy16_summary_bnft_projection!H54)/fy16_summary_bnft_projection!$N$43),3)</f>
        <v>0</v>
      </c>
      <c r="N10" s="75"/>
      <c r="O10" s="75">
        <f>ROUND(((fy16_summary_bnft_projection!P20)/fy16_summary_bnft_projection!$P$43),3)</f>
        <v>0</v>
      </c>
    </row>
    <row r="11" spans="2:15" x14ac:dyDescent="0.25">
      <c r="B11" s="77" t="s">
        <v>134</v>
      </c>
      <c r="C11" s="78">
        <f>ROUND((0.89*C$17),3)</f>
        <v>0.10199999999999999</v>
      </c>
      <c r="D11" s="78"/>
      <c r="E11" s="78">
        <f>ROUND((0.89*E$17),3)+0.001</f>
        <v>0.152</v>
      </c>
      <c r="F11" s="78"/>
      <c r="G11" s="78">
        <f>ROUND((0.89*G$17),3)</f>
        <v>0.25900000000000001</v>
      </c>
      <c r="H11" s="78"/>
      <c r="I11" s="78">
        <f>ROUND((0.89*I$17),3)</f>
        <v>0</v>
      </c>
      <c r="J11" s="78"/>
      <c r="K11" s="78">
        <f>ROUND((0.89*K$17),3)</f>
        <v>0</v>
      </c>
      <c r="L11" s="78"/>
      <c r="M11" s="78">
        <f>ROUND((0.89*M$17),3)</f>
        <v>3.1E-2</v>
      </c>
      <c r="N11" s="78"/>
      <c r="O11" s="78">
        <v>0</v>
      </c>
    </row>
    <row r="12" spans="2:15" x14ac:dyDescent="0.25">
      <c r="B12" s="77" t="s">
        <v>135</v>
      </c>
      <c r="C12" s="78">
        <f>ROUND((0.074*C$17),3)</f>
        <v>8.9999999999999993E-3</v>
      </c>
      <c r="D12" s="78"/>
      <c r="E12" s="78">
        <f>ROUND((0.074*E$17),3)</f>
        <v>1.2999999999999999E-2</v>
      </c>
      <c r="F12" s="78"/>
      <c r="G12" s="78">
        <f>ROUND((0.074*G$17),3)</f>
        <v>2.1999999999999999E-2</v>
      </c>
      <c r="H12" s="78"/>
      <c r="I12" s="78">
        <f>ROUND((0.074*I$17),3)</f>
        <v>0</v>
      </c>
      <c r="J12" s="78"/>
      <c r="K12" s="78">
        <f>ROUND((0.074*K$17),3)</f>
        <v>0</v>
      </c>
      <c r="L12" s="78"/>
      <c r="M12" s="78">
        <f>ROUND((0.074*M$17),3)</f>
        <v>3.0000000000000001E-3</v>
      </c>
      <c r="N12" s="78"/>
      <c r="O12" s="78">
        <v>0</v>
      </c>
    </row>
    <row r="13" spans="2:15" x14ac:dyDescent="0.25">
      <c r="B13" s="77" t="s">
        <v>136</v>
      </c>
      <c r="C13" s="78">
        <f>ROUND((0.02*C$17),3)</f>
        <v>2E-3</v>
      </c>
      <c r="D13" s="78"/>
      <c r="E13" s="78">
        <f>ROUND((0.02*E$17),3)</f>
        <v>3.0000000000000001E-3</v>
      </c>
      <c r="F13" s="78"/>
      <c r="G13" s="78">
        <f>ROUND((0.02*G$17),3)</f>
        <v>6.0000000000000001E-3</v>
      </c>
      <c r="H13" s="78"/>
      <c r="I13" s="78">
        <f>ROUND((0.02*I$17),3)</f>
        <v>0</v>
      </c>
      <c r="J13" s="78"/>
      <c r="K13" s="78">
        <f>ROUND((0.02*K$17),3)</f>
        <v>0</v>
      </c>
      <c r="L13" s="78"/>
      <c r="M13" s="78">
        <f>ROUND((0.02*M$17),3)</f>
        <v>1E-3</v>
      </c>
      <c r="N13" s="78"/>
      <c r="O13" s="78">
        <v>0</v>
      </c>
    </row>
    <row r="14" spans="2:15" x14ac:dyDescent="0.25">
      <c r="B14" s="77" t="s">
        <v>137</v>
      </c>
      <c r="C14" s="78">
        <f>ROUND((0.008*C$17),3)</f>
        <v>1E-3</v>
      </c>
      <c r="D14" s="78"/>
      <c r="E14" s="78">
        <f>ROUND((0.008*E$17),3)</f>
        <v>1E-3</v>
      </c>
      <c r="F14" s="78"/>
      <c r="G14" s="78">
        <f>ROUND((0.008*G$17),3)</f>
        <v>2E-3</v>
      </c>
      <c r="H14" s="78"/>
      <c r="I14" s="78">
        <f>ROUND((0.008*I$17),3)</f>
        <v>0</v>
      </c>
      <c r="J14" s="78"/>
      <c r="K14" s="78">
        <f>ROUND((0.008*K$17),3)</f>
        <v>0</v>
      </c>
      <c r="L14" s="78"/>
      <c r="M14" s="78">
        <f>ROUND((0.008*M$17),3)</f>
        <v>0</v>
      </c>
      <c r="N14" s="78"/>
      <c r="O14" s="78">
        <v>0</v>
      </c>
    </row>
    <row r="15" spans="2:15" x14ac:dyDescent="0.25">
      <c r="B15" s="77" t="s">
        <v>138</v>
      </c>
      <c r="C15" s="78">
        <f>ROUND((0.008*C$17),3)</f>
        <v>1E-3</v>
      </c>
      <c r="D15" s="78"/>
      <c r="E15" s="78">
        <f>ROUND((0.008*E$17),3)</f>
        <v>1E-3</v>
      </c>
      <c r="F15" s="78"/>
      <c r="G15" s="78">
        <f>ROUND((0.008*G$17),3)</f>
        <v>2E-3</v>
      </c>
      <c r="H15" s="78"/>
      <c r="I15" s="78">
        <f>ROUND((0.008*I$17),3)</f>
        <v>0</v>
      </c>
      <c r="J15" s="78"/>
      <c r="K15" s="78">
        <f>ROUND((0.008*K$17),3)</f>
        <v>0</v>
      </c>
      <c r="L15" s="78"/>
      <c r="M15" s="78">
        <f>ROUND((0.008*M$17),3)</f>
        <v>0</v>
      </c>
      <c r="N15" s="78"/>
      <c r="O15" s="78">
        <v>0</v>
      </c>
    </row>
    <row r="16" spans="2:15" x14ac:dyDescent="0.25">
      <c r="B16" s="77" t="s">
        <v>139</v>
      </c>
      <c r="C16" s="78">
        <f>SUM(C11:C15)</f>
        <v>0.11499999999999999</v>
      </c>
      <c r="D16" s="78"/>
      <c r="E16" s="78">
        <f>SUM(E11:E15)</f>
        <v>0.17</v>
      </c>
      <c r="F16" s="78"/>
      <c r="G16" s="78">
        <f>SUM(G11:G15)</f>
        <v>0.29100000000000004</v>
      </c>
      <c r="H16" s="78"/>
      <c r="I16" s="78">
        <f>SUM(I11:I15)</f>
        <v>0</v>
      </c>
      <c r="J16" s="78"/>
      <c r="K16" s="78">
        <f>SUM(K11:K15)</f>
        <v>0</v>
      </c>
      <c r="L16" s="78"/>
      <c r="M16" s="78">
        <f>SUM(M11:M15)</f>
        <v>3.5000000000000003E-2</v>
      </c>
      <c r="N16" s="78"/>
      <c r="O16" s="78">
        <f>SUM(O11:O15)</f>
        <v>0</v>
      </c>
    </row>
    <row r="17" spans="2:17" hidden="1" x14ac:dyDescent="0.25">
      <c r="B17" s="76" t="s">
        <v>140</v>
      </c>
      <c r="C17" s="75">
        <f>ROUND(((fy16_summary_bnft_projection!D28-fy16_summary_bnft_projection!D62)/fy16_summary_bnft_projection!$D$43),3)+0.001</f>
        <v>0.115</v>
      </c>
      <c r="D17" s="75"/>
      <c r="E17" s="75">
        <f>ROUND(((fy16_summary_bnft_projection!F28-fy16_summary_bnft_projection!E62)/fy16_summary_bnft_projection!$F$43),3)</f>
        <v>0.17</v>
      </c>
      <c r="F17" s="75"/>
      <c r="G17" s="75">
        <f>ROUND(((fy16_summary_bnft_projection!H28-fy16_summary_bnft_projection!F62)/fy16_summary_bnft_projection!$H$43),3)+0.001</f>
        <v>0.29099999999999998</v>
      </c>
      <c r="H17" s="75"/>
      <c r="I17" s="75">
        <f>ROUND(((fy16_summary_bnft_projection!J28-fy16_summary_bnft_projection!G62)/fy16_summary_bnft_projection!$J$43),3)</f>
        <v>0</v>
      </c>
      <c r="J17" s="75"/>
      <c r="K17" s="75">
        <f>ROUND(((fy16_summary_bnft_projection!L28-fy16_summary_bnft_projection!H62)/fy16_summary_bnft_projection!$L$43),3)</f>
        <v>0</v>
      </c>
      <c r="L17" s="75"/>
      <c r="M17" s="75">
        <f>ROUND(((fy16_summary_bnft_projection!N28)/fy16_summary_bnft_projection!$N$43),3)+0.001</f>
        <v>3.5000000000000003E-2</v>
      </c>
      <c r="N17" s="75"/>
      <c r="O17" s="75">
        <f>ROUND(((fy16_summary_bnft_projection!P28)/fy16_summary_bnft_projection!$P$43),3)</f>
        <v>0</v>
      </c>
    </row>
    <row r="18" spans="2:17" x14ac:dyDescent="0.25">
      <c r="B18" s="76" t="s">
        <v>141</v>
      </c>
      <c r="C18" s="75">
        <f>ROUND((((fy16_summary_bnft_projection!D29+fy16_summary_bnft_projection!D26)-(fy16_summary_bnft_projection!D63+fy16_summary_bnft_projection!D60))/fy16_summary_bnft_projection!$D$43),3)</f>
        <v>4.0000000000000001E-3</v>
      </c>
      <c r="D18" s="75"/>
      <c r="E18" s="75">
        <f>ROUND((((fy16_summary_bnft_projection!F29+fy16_summary_bnft_projection!F26)-(fy16_summary_bnft_projection!E63+fy16_summary_bnft_projection!E60))/fy16_summary_bnft_projection!$F$43),3)</f>
        <v>5.0000000000000001E-3</v>
      </c>
      <c r="F18" s="75"/>
      <c r="G18" s="75">
        <f>ROUND((((fy16_summary_bnft_projection!H29+fy16_summary_bnft_projection!H26)-(fy16_summary_bnft_projection!F63+fy16_summary_bnft_projection!F60))/fy16_summary_bnft_projection!$H$43),3)</f>
        <v>5.0000000000000001E-3</v>
      </c>
      <c r="H18" s="75"/>
      <c r="I18" s="75">
        <f>ROUND((((fy16_summary_bnft_projection!J29+fy16_summary_bnft_projection!J26)-(fy16_summary_bnft_projection!G63+fy16_summary_bnft_projection!G60))/fy16_summary_bnft_projection!$J$43),3)</f>
        <v>3.0000000000000001E-3</v>
      </c>
      <c r="J18" s="75"/>
      <c r="K18" s="75">
        <f>ROUND((((fy16_summary_bnft_projection!L29+fy16_summary_bnft_projection!L26))/fy16_summary_bnft_projection!$J$43),3)+0.001</f>
        <v>3.0000000000000001E-3</v>
      </c>
      <c r="L18" s="75"/>
      <c r="M18" s="75">
        <f>ROUND((((fy16_summary_bnft_projection!N29+fy16_summary_bnft_projection!N26))/fy16_summary_bnft_projection!$N$43),3)</f>
        <v>0</v>
      </c>
      <c r="N18" s="75"/>
      <c r="O18" s="75">
        <f>ROUND((((fy16_summary_bnft_projection!P29+fy16_summary_bnft_projection!P26)-(fy16_summary_bnft_projection!H63+fy16_summary_bnft_projection!H60))/fy16_summary_bnft_projection!$P$43),3)</f>
        <v>3.0000000000000001E-3</v>
      </c>
    </row>
    <row r="19" spans="2:17" x14ac:dyDescent="0.25">
      <c r="B19" s="76" t="s">
        <v>142</v>
      </c>
      <c r="C19" s="75">
        <f>ROUND(((fy16_summary_bnft_projection!D21-fy16_summary_bnft_projection!D55)/fy16_summary_bnft_projection!$D$43),3)</f>
        <v>3.0000000000000001E-3</v>
      </c>
      <c r="D19" s="75"/>
      <c r="E19" s="75">
        <f>ROUND(((fy16_summary_bnft_projection!F21-fy16_summary_bnft_projection!E55)/fy16_summary_bnft_projection!$F$43),3)</f>
        <v>3.0000000000000001E-3</v>
      </c>
      <c r="F19" s="75"/>
      <c r="G19" s="75">
        <f>ROUND(((fy16_summary_bnft_projection!H21-fy16_summary_bnft_projection!F55)/fy16_summary_bnft_projection!$H$43),3)</f>
        <v>3.0000000000000001E-3</v>
      </c>
      <c r="H19" s="75"/>
      <c r="I19" s="75">
        <f>ROUND(((fy16_summary_bnft_projection!J21-fy16_summary_bnft_projection!G55)/fy16_summary_bnft_projection!$J$43),3)</f>
        <v>0</v>
      </c>
      <c r="J19" s="75"/>
      <c r="K19" s="75">
        <f>ROUND(((fy16_summary_bnft_projection!L21-fy16_summary_bnft_projection!H55)/fy16_summary_bnft_projection!$L$43),3)</f>
        <v>0</v>
      </c>
      <c r="L19" s="75"/>
      <c r="M19" s="75">
        <f>ROUND(((fy16_summary_bnft_projection!N21-fy16_summary_bnft_projection!H55)/fy16_summary_bnft_projection!$N$43),3)</f>
        <v>0</v>
      </c>
      <c r="N19" s="75"/>
      <c r="O19" s="75">
        <f>ROUND(((fy16_summary_bnft_projection!P21)/fy16_summary_bnft_projection!$P$43),3)</f>
        <v>0</v>
      </c>
      <c r="Q19" s="79"/>
    </row>
    <row r="20" spans="2:17" x14ac:dyDescent="0.25">
      <c r="B20" s="76" t="s">
        <v>143</v>
      </c>
      <c r="C20" s="75">
        <f>ROUND(((fy16_summary_bnft_projection!D22-fy16_summary_bnft_projection!D56)/fy16_summary_bnft_projection!$D$43),3)</f>
        <v>3.0000000000000001E-3</v>
      </c>
      <c r="D20" s="75"/>
      <c r="E20" s="75">
        <f>ROUND(((fy16_summary_bnft_projection!F22-fy16_summary_bnft_projection!E56)/fy16_summary_bnft_projection!$F$43),3)</f>
        <v>3.0000000000000001E-3</v>
      </c>
      <c r="F20" s="75"/>
      <c r="G20" s="75">
        <f>ROUND(((fy16_summary_bnft_projection!H22-fy16_summary_bnft_projection!F56)/fy16_summary_bnft_projection!$H$43),3)</f>
        <v>3.0000000000000001E-3</v>
      </c>
      <c r="H20" s="75"/>
      <c r="I20" s="75">
        <f>ROUND(((fy16_summary_bnft_projection!J22-fy16_summary_bnft_projection!G56)/fy16_summary_bnft_projection!$J$43),3)</f>
        <v>0</v>
      </c>
      <c r="J20" s="75"/>
      <c r="K20" s="75">
        <f>ROUND(((fy16_summary_bnft_projection!L22-fy16_summary_bnft_projection!H56)/fy16_summary_bnft_projection!$L$43),3)</f>
        <v>0</v>
      </c>
      <c r="L20" s="75"/>
      <c r="M20" s="75">
        <f>ROUND(((fy16_summary_bnft_projection!N22-fy16_summary_bnft_projection!H56)/fy16_summary_bnft_projection!$N$43),3)</f>
        <v>0</v>
      </c>
      <c r="N20" s="75"/>
      <c r="O20" s="75">
        <f>ROUND(((fy16_summary_bnft_projection!P22)/fy16_summary_bnft_projection!$P$43),3)</f>
        <v>0</v>
      </c>
    </row>
    <row r="21" spans="2:17" x14ac:dyDescent="0.25">
      <c r="B21" s="76" t="s">
        <v>144</v>
      </c>
      <c r="C21" s="75">
        <f>ROUND(((fy16_summary_bnft_projection!D23-fy16_summary_bnft_projection!D57)/fy16_summary_bnft_projection!$D$43),3)</f>
        <v>1E-3</v>
      </c>
      <c r="D21" s="75"/>
      <c r="E21" s="75">
        <f>ROUND(((fy16_summary_bnft_projection!F23-fy16_summary_bnft_projection!E57)/fy16_summary_bnft_projection!$F$43),3)</f>
        <v>1E-3</v>
      </c>
      <c r="F21" s="75"/>
      <c r="G21" s="75">
        <f>ROUND(((fy16_summary_bnft_projection!H23-fy16_summary_bnft_projection!F57)/fy16_summary_bnft_projection!$H$43),3)</f>
        <v>1E-3</v>
      </c>
      <c r="H21" s="75"/>
      <c r="I21" s="75">
        <f>ROUND(((fy16_summary_bnft_projection!J23-fy16_summary_bnft_projection!G57)/fy16_summary_bnft_projection!$J$43),3)</f>
        <v>1E-3</v>
      </c>
      <c r="J21" s="75"/>
      <c r="K21" s="75">
        <f>ROUND(((fy16_summary_bnft_projection!L23-fy16_summary_bnft_projection!H57)/fy16_summary_bnft_projection!$L$43),3)</f>
        <v>0</v>
      </c>
      <c r="L21" s="75"/>
      <c r="M21" s="75">
        <f>ROUND(((fy16_summary_bnft_projection!N23-fy16_summary_bnft_projection!H57)/fy16_summary_bnft_projection!$N$43),3)</f>
        <v>0</v>
      </c>
      <c r="N21" s="75"/>
      <c r="O21" s="75">
        <f>ROUND(((fy16_summary_bnft_projection!P23)/fy16_summary_bnft_projection!$P$43),3)</f>
        <v>0</v>
      </c>
    </row>
    <row r="22" spans="2:17" x14ac:dyDescent="0.25">
      <c r="B22" s="76" t="s">
        <v>145</v>
      </c>
      <c r="C22" s="75">
        <f>ROUND(((fy16_summary_bnft_projection!D24-fy16_summary_bnft_projection!D58)/fy16_summary_bnft_projection!$D$43),3)</f>
        <v>5.0000000000000001E-3</v>
      </c>
      <c r="D22" s="75"/>
      <c r="E22" s="75">
        <f>ROUND(((fy16_summary_bnft_projection!F24-fy16_summary_bnft_projection!E58)/fy16_summary_bnft_projection!$F$43),3)</f>
        <v>5.0000000000000001E-3</v>
      </c>
      <c r="F22" s="75"/>
      <c r="G22" s="75">
        <f>ROUND(((fy16_summary_bnft_projection!H24-fy16_summary_bnft_projection!F58)/fy16_summary_bnft_projection!$H$43),3)</f>
        <v>5.0000000000000001E-3</v>
      </c>
      <c r="H22" s="75"/>
      <c r="I22" s="75">
        <f>ROUND(((fy16_summary_bnft_projection!J24-fy16_summary_bnft_projection!G58)/fy16_summary_bnft_projection!$J$43),3)</f>
        <v>5.0000000000000001E-3</v>
      </c>
      <c r="J22" s="75"/>
      <c r="K22" s="75">
        <f>ROUND(((fy16_summary_bnft_projection!L24)/fy16_summary_bnft_projection!$L$43),3)</f>
        <v>5.0000000000000001E-3</v>
      </c>
      <c r="L22" s="75"/>
      <c r="M22" s="75">
        <f>ROUND(((fy16_summary_bnft_projection!N24)/fy16_summary_bnft_projection!$N$43),3)</f>
        <v>0</v>
      </c>
      <c r="N22" s="75"/>
      <c r="O22" s="75">
        <f>ROUND(((fy16_summary_bnft_projection!P24-fy16_summary_bnft_projection!H58)/fy16_summary_bnft_projection!$P$43),3)</f>
        <v>4.0000000000000001E-3</v>
      </c>
    </row>
    <row r="23" spans="2:17" x14ac:dyDescent="0.25">
      <c r="B23" s="76" t="s">
        <v>146</v>
      </c>
      <c r="C23" s="75">
        <f>ROUND(((fy16_summary_bnft_projection!D30-fy16_summary_bnft_projection!D64)/fy16_summary_bnft_projection!$D$43),3)</f>
        <v>1E-3</v>
      </c>
      <c r="D23" s="75"/>
      <c r="E23" s="75">
        <f>ROUND(((fy16_summary_bnft_projection!F30-fy16_summary_bnft_projection!E64)/fy16_summary_bnft_projection!$F$43),3)</f>
        <v>1E-3</v>
      </c>
      <c r="F23" s="75"/>
      <c r="G23" s="75">
        <f>ROUND(((fy16_summary_bnft_projection!H30-fy16_summary_bnft_projection!F64)/fy16_summary_bnft_projection!$H$43),3)</f>
        <v>2E-3</v>
      </c>
      <c r="H23" s="75"/>
      <c r="I23" s="75">
        <f>ROUND(((fy16_summary_bnft_projection!J30-fy16_summary_bnft_projection!G64)/fy16_summary_bnft_projection!$J$43),3)</f>
        <v>0</v>
      </c>
      <c r="J23" s="75"/>
      <c r="K23" s="75">
        <f>ROUND(((fy16_summary_bnft_projection!L30)/fy16_summary_bnft_projection!$L$43),3)</f>
        <v>0</v>
      </c>
      <c r="L23" s="75"/>
      <c r="M23" s="75">
        <f>ROUND(((fy16_summary_bnft_projection!N30-fy16_summary_bnft_projection!H64)/fy16_summary_bnft_projection!$N$43),3)</f>
        <v>0</v>
      </c>
      <c r="N23" s="75"/>
      <c r="O23" s="75">
        <f>ROUND(((fy16_summary_bnft_projection!P30)/fy16_summary_bnft_projection!$P$43),3)</f>
        <v>0</v>
      </c>
    </row>
    <row r="24" spans="2:17" x14ac:dyDescent="0.25">
      <c r="B24" s="76" t="s">
        <v>147</v>
      </c>
      <c r="C24" s="75">
        <f>ROUND(((fy16_summary_bnft_projection!D31-fy16_summary_bnft_projection!D65)/fy16_summary_bnft_projection!$D$43),3)</f>
        <v>6.0000000000000001E-3</v>
      </c>
      <c r="D24" s="75"/>
      <c r="E24" s="75">
        <f>ROUND(((fy16_summary_bnft_projection!F31-fy16_summary_bnft_projection!E65)/fy16_summary_bnft_projection!$F$43),3)</f>
        <v>8.9999999999999993E-3</v>
      </c>
      <c r="F24" s="75"/>
      <c r="G24" s="75">
        <f>ROUND(((fy16_summary_bnft_projection!H31-fy16_summary_bnft_projection!F65)/fy16_summary_bnft_projection!$H$43),3)</f>
        <v>1.6E-2</v>
      </c>
      <c r="H24" s="75"/>
      <c r="I24" s="75">
        <f>ROUND(((fy16_summary_bnft_projection!J31-fy16_summary_bnft_projection!G65)/fy16_summary_bnft_projection!$J$43),3)</f>
        <v>0</v>
      </c>
      <c r="J24" s="75"/>
      <c r="K24" s="75">
        <f>ROUND(((fy16_summary_bnft_projection!L31)/fy16_summary_bnft_projection!$L$43),3)</f>
        <v>0</v>
      </c>
      <c r="L24" s="75"/>
      <c r="M24" s="75">
        <f>ROUND(((fy16_summary_bnft_projection!N31)/fy16_summary_bnft_projection!$N$43),3)</f>
        <v>2E-3</v>
      </c>
      <c r="N24" s="75"/>
      <c r="O24" s="75">
        <f>ROUND(((fy16_summary_bnft_projection!P31)/fy16_summary_bnft_projection!$P$43),3)</f>
        <v>0</v>
      </c>
    </row>
    <row r="25" spans="2:17" x14ac:dyDescent="0.25">
      <c r="B25" s="76" t="s">
        <v>148</v>
      </c>
      <c r="C25" s="75">
        <f>ROUND(((fy16_summary_bnft_projection!D27-fy16_summary_bnft_projection!D61)/fy16_summary_bnft_projection!$D$43),3)</f>
        <v>0</v>
      </c>
      <c r="D25" s="75"/>
      <c r="E25" s="75">
        <f>ROUND(((fy16_summary_bnft_projection!F27-fy16_summary_bnft_projection!E61)/fy16_summary_bnft_projection!$F$43),3)</f>
        <v>0</v>
      </c>
      <c r="F25" s="75"/>
      <c r="G25" s="75">
        <f>ROUND(((fy16_summary_bnft_projection!H27-fy16_summary_bnft_projection!F61)/fy16_summary_bnft_projection!$H$43),3)</f>
        <v>0</v>
      </c>
      <c r="H25" s="75"/>
      <c r="I25" s="75">
        <f>ROUND(((fy16_summary_bnft_projection!J27-fy16_summary_bnft_projection!G61)/fy16_summary_bnft_projection!$J$43),3)</f>
        <v>0</v>
      </c>
      <c r="J25" s="75"/>
      <c r="K25" s="75">
        <f>ROUND(((fy16_summary_bnft_projection!L27)/fy16_summary_bnft_projection!$L$43),3)</f>
        <v>0</v>
      </c>
      <c r="L25" s="75"/>
      <c r="M25" s="75">
        <f>ROUND(((fy16_summary_bnft_projection!N27)/fy16_summary_bnft_projection!$N$43),3)</f>
        <v>0</v>
      </c>
      <c r="N25" s="75"/>
      <c r="O25" s="75">
        <f>ROUND(((fy16_summary_bnft_projection!P27-fy16_summary_bnft_projection!H61)/fy16_summary_bnft_projection!$P$43),3)</f>
        <v>0.123</v>
      </c>
      <c r="Q25" s="80"/>
    </row>
    <row r="26" spans="2:17" x14ac:dyDescent="0.25">
      <c r="B26" s="76" t="s">
        <v>149</v>
      </c>
      <c r="C26" s="75">
        <f>ROUND(((fy16_summary_bnft_projection!D32-fy16_summary_bnft_projection!D66)/fy16_summary_bnft_projection!$D$43),3)</f>
        <v>8.0000000000000002E-3</v>
      </c>
      <c r="D26" s="75"/>
      <c r="E26" s="75">
        <f>ROUND(((fy16_summary_bnft_projection!F32-fy16_summary_bnft_projection!E66)/fy16_summary_bnft_projection!$F$43),3)</f>
        <v>1.2E-2</v>
      </c>
      <c r="F26" s="75"/>
      <c r="G26" s="75">
        <f>ROUND(((fy16_summary_bnft_projection!H32-fy16_summary_bnft_projection!F66)/fy16_summary_bnft_projection!$H$43),3)</f>
        <v>0.02</v>
      </c>
      <c r="H26" s="75"/>
      <c r="I26" s="75">
        <f>ROUND(((fy16_summary_bnft_projection!J32-fy16_summary_bnft_projection!G66)/fy16_summary_bnft_projection!$J$43),3)</f>
        <v>0</v>
      </c>
      <c r="J26" s="75"/>
      <c r="K26" s="75">
        <f>ROUND(((fy16_summary_bnft_projection!L32)/fy16_summary_bnft_projection!$L$43),3)</f>
        <v>0</v>
      </c>
      <c r="L26" s="75"/>
      <c r="M26" s="75">
        <f>ROUND(((fy16_summary_bnft_projection!N32)/fy16_summary_bnft_projection!$N$43),3)</f>
        <v>2E-3</v>
      </c>
      <c r="N26" s="75"/>
      <c r="O26" s="75">
        <f>ROUND(((fy16_summary_bnft_projection!P32)/fy16_summary_bnft_projection!$P$43),3)</f>
        <v>0</v>
      </c>
      <c r="Q26" s="80"/>
    </row>
    <row r="27" spans="2:17" x14ac:dyDescent="0.25">
      <c r="B27" s="76" t="s">
        <v>150</v>
      </c>
      <c r="C27" s="75">
        <f>ROUND(((fy16_summary_bnft_projection!D33)/fy16_summary_bnft_projection!$D$43),3)</f>
        <v>4.0000000000000001E-3</v>
      </c>
      <c r="D27" s="75"/>
      <c r="E27" s="75">
        <f>ROUND(((fy16_summary_bnft_projection!F33)/fy16_summary_bnft_projection!$F$43),3)</f>
        <v>7.0000000000000001E-3</v>
      </c>
      <c r="F27" s="75"/>
      <c r="G27" s="75">
        <f>ROUND(((fy16_summary_bnft_projection!H33)/fy16_summary_bnft_projection!$H$43),3)</f>
        <v>0.01</v>
      </c>
      <c r="H27" s="75"/>
      <c r="I27" s="75">
        <f>ROUND(((fy16_summary_bnft_projection!J33)/fy16_summary_bnft_projection!$J$43),3)</f>
        <v>0</v>
      </c>
      <c r="J27" s="75"/>
      <c r="K27" s="75">
        <f>ROUND(((fy16_summary_bnft_projection!L33)/fy16_summary_bnft_projection!$L$43),3)</f>
        <v>0</v>
      </c>
      <c r="L27" s="75"/>
      <c r="M27" s="75">
        <f>ROUND(((fy16_summary_bnft_projection!N33)/fy16_summary_bnft_projection!$N$43),3)</f>
        <v>1E-3</v>
      </c>
      <c r="N27" s="75"/>
      <c r="O27" s="75">
        <f>ROUND(((fy16_summary_bnft_projection!P33)/fy16_summary_bnft_projection!$P$43),3)</f>
        <v>0</v>
      </c>
      <c r="P27" s="81"/>
      <c r="Q27" s="80"/>
    </row>
    <row r="28" spans="2:17" x14ac:dyDescent="0.25">
      <c r="B28" s="82" t="s">
        <v>151</v>
      </c>
      <c r="C28" s="83">
        <f>SUM(C8:C15,C18:C27)</f>
        <v>0.30400000000000005</v>
      </c>
      <c r="D28" s="83"/>
      <c r="E28" s="83">
        <f>SUM(E8:E15,E18:E27)</f>
        <v>0.37000000000000011</v>
      </c>
      <c r="F28" s="83"/>
      <c r="G28" s="83">
        <f>SUM(G8:G15,G18:G27)</f>
        <v>0.51000000000000012</v>
      </c>
      <c r="H28" s="83"/>
      <c r="I28" s="83">
        <f>SUM(I8:I15,I18:I27)</f>
        <v>0.16300000000000003</v>
      </c>
      <c r="J28" s="83"/>
      <c r="K28" s="83">
        <f>SUM(K8:K15,K18:K27)</f>
        <v>8.0000000000000002E-3</v>
      </c>
      <c r="L28" s="83"/>
      <c r="M28" s="83">
        <f>SUM(M8:M15,M18:M27)</f>
        <v>4.0000000000000008E-2</v>
      </c>
      <c r="N28" s="83"/>
      <c r="O28" s="83">
        <f>SUM(O8:O15,O18:O27)</f>
        <v>0.13</v>
      </c>
      <c r="P28" s="81"/>
      <c r="Q28" s="80"/>
    </row>
    <row r="29" spans="2:17" ht="26.25" x14ac:dyDescent="0.4">
      <c r="B29" s="33"/>
      <c r="C29" s="84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1"/>
      <c r="Q29" s="80"/>
    </row>
    <row r="30" spans="2:17" s="91" customFormat="1" x14ac:dyDescent="0.25">
      <c r="B30" s="86" t="s">
        <v>152</v>
      </c>
      <c r="C30" s="87">
        <f>Rates!M9</f>
        <v>0.30399999999999999</v>
      </c>
      <c r="D30" s="87"/>
      <c r="E30" s="87">
        <f>Rates!M10</f>
        <v>0.37</v>
      </c>
      <c r="F30" s="87"/>
      <c r="G30" s="87">
        <f>Rates!M11</f>
        <v>0.51</v>
      </c>
      <c r="H30" s="87"/>
      <c r="I30" s="87">
        <f>Rates!M12</f>
        <v>0.16300000000000001</v>
      </c>
      <c r="J30" s="88"/>
      <c r="K30" s="88">
        <f>Rates!M13</f>
        <v>8.0000000000000002E-3</v>
      </c>
      <c r="L30" s="89"/>
      <c r="M30" s="89">
        <f>Rates!M14</f>
        <v>0.04</v>
      </c>
      <c r="N30" s="89"/>
      <c r="O30" s="90">
        <f>Rates!M15</f>
        <v>0.13</v>
      </c>
      <c r="Q30" s="92"/>
    </row>
    <row r="31" spans="2:17" ht="26.25" x14ac:dyDescent="0.4">
      <c r="B31" s="33"/>
      <c r="C31" s="93">
        <f>C28-C30</f>
        <v>0</v>
      </c>
      <c r="D31" s="93"/>
      <c r="E31" s="93">
        <f>E28-E30</f>
        <v>0</v>
      </c>
      <c r="F31" s="94"/>
      <c r="G31" s="93">
        <f>G28-G30</f>
        <v>0</v>
      </c>
      <c r="H31" s="94"/>
      <c r="I31" s="93">
        <f>I28-I30</f>
        <v>0</v>
      </c>
      <c r="J31" s="94"/>
      <c r="K31" s="93">
        <f>K28-K30</f>
        <v>0</v>
      </c>
      <c r="L31" s="94"/>
      <c r="M31" s="93">
        <f>M28-M30</f>
        <v>0</v>
      </c>
      <c r="N31" s="94"/>
      <c r="O31" s="93">
        <f>O28-O30</f>
        <v>0</v>
      </c>
      <c r="Q31" s="95"/>
    </row>
    <row r="32" spans="2:17" x14ac:dyDescent="0.25">
      <c r="B32" s="33"/>
      <c r="Q32" s="92"/>
    </row>
    <row r="33" spans="2:17" x14ac:dyDescent="0.25">
      <c r="B33" s="148" t="s">
        <v>302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62"/>
      <c r="Q33" s="95"/>
    </row>
    <row r="34" spans="2:17" x14ac:dyDescent="0.25">
      <c r="B34" s="148" t="s">
        <v>153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62"/>
      <c r="Q34" s="96"/>
    </row>
    <row r="35" spans="2:17" x14ac:dyDescent="0.25">
      <c r="B35" s="97"/>
    </row>
    <row r="36" spans="2:17" x14ac:dyDescent="0.25">
      <c r="B36" s="98"/>
      <c r="C36" s="65" t="s">
        <v>113</v>
      </c>
      <c r="D36" s="66"/>
      <c r="E36" s="66" t="s">
        <v>114</v>
      </c>
      <c r="F36" s="66"/>
      <c r="G36" s="66" t="s">
        <v>115</v>
      </c>
      <c r="H36" s="66"/>
      <c r="I36" s="66" t="s">
        <v>116</v>
      </c>
      <c r="J36" s="66"/>
      <c r="K36" s="66" t="s">
        <v>117</v>
      </c>
      <c r="L36" s="66"/>
      <c r="M36" s="66" t="s">
        <v>118</v>
      </c>
      <c r="N36" s="66"/>
      <c r="O36" s="67" t="s">
        <v>119</v>
      </c>
    </row>
    <row r="37" spans="2:17" x14ac:dyDescent="0.25">
      <c r="B37" s="98"/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</row>
    <row r="38" spans="2:17" x14ac:dyDescent="0.25">
      <c r="B38" s="98"/>
      <c r="C38" s="71" t="s">
        <v>126</v>
      </c>
      <c r="D38" s="72"/>
      <c r="E38" s="72" t="s">
        <v>127</v>
      </c>
      <c r="F38" s="72"/>
      <c r="G38" s="72" t="s">
        <v>128</v>
      </c>
      <c r="H38" s="72"/>
      <c r="I38" s="72" t="s">
        <v>129</v>
      </c>
      <c r="J38" s="72"/>
      <c r="K38" s="72" t="s">
        <v>130</v>
      </c>
      <c r="L38" s="72"/>
      <c r="M38" s="72" t="s">
        <v>131</v>
      </c>
      <c r="N38" s="72"/>
      <c r="O38" s="73" t="s">
        <v>132</v>
      </c>
    </row>
    <row r="39" spans="2:17" x14ac:dyDescent="0.25">
      <c r="B39" s="98"/>
    </row>
    <row r="40" spans="2:17" x14ac:dyDescent="0.25">
      <c r="B40" s="74" t="s">
        <v>38</v>
      </c>
      <c r="C40" s="75">
        <f>ROUND((fy16_summary_bnft_projection!E18/fy16_summary_bnft_projection!$E$13),3)</f>
        <v>0.14000000000000001</v>
      </c>
      <c r="D40" s="75"/>
      <c r="E40" s="75">
        <f>ROUND((fy16_summary_bnft_projection!G18/fy16_summary_bnft_projection!$G$13),3)</f>
        <v>0</v>
      </c>
      <c r="F40" s="75"/>
      <c r="G40" s="75">
        <f>ROUND((fy16_summary_bnft_projection!I18/fy16_summary_bnft_projection!$I$13),3)</f>
        <v>0</v>
      </c>
      <c r="H40" s="75"/>
      <c r="I40" s="75">
        <f>ROUND((fy16_summary_bnft_projection!K18/fy16_summary_bnft_projection!$K$13),3)</f>
        <v>0.14000000000000001</v>
      </c>
      <c r="J40" s="75"/>
      <c r="K40" s="75">
        <f>ROUND((fy16_summary_bnft_projection!M18/fy16_summary_bnft_projection!$M$13),3)</f>
        <v>0</v>
      </c>
      <c r="L40" s="75"/>
      <c r="M40" s="75">
        <f>M8</f>
        <v>0</v>
      </c>
      <c r="N40" s="75"/>
      <c r="O40" s="75">
        <f>ROUND((fy16_summary_bnft_projection!Q18/fy16_summary_bnft_projection!$Q$13),3)</f>
        <v>0</v>
      </c>
      <c r="P40" s="94"/>
      <c r="Q40" s="81"/>
    </row>
    <row r="41" spans="2:17" x14ac:dyDescent="0.25">
      <c r="B41" s="76" t="s">
        <v>40</v>
      </c>
      <c r="C41" s="75">
        <f>ROUND((fy16_summary_bnft_projection!E19/fy16_summary_bnft_projection!$E$13),3)</f>
        <v>0</v>
      </c>
      <c r="D41" s="75"/>
      <c r="E41" s="75">
        <f>ROUND((fy16_summary_bnft_projection!G19/fy16_summary_bnft_projection!$G$13),3)</f>
        <v>0.14000000000000001</v>
      </c>
      <c r="F41" s="75"/>
      <c r="G41" s="75">
        <f>ROUND((fy16_summary_bnft_projection!I19/fy16_summary_bnft_projection!$I$13),3)</f>
        <v>0.14000000000000001</v>
      </c>
      <c r="H41" s="75"/>
      <c r="I41" s="75">
        <f>ROUND((fy16_summary_bnft_projection!K19/fy16_summary_bnft_projection!$K$13),3)</f>
        <v>0</v>
      </c>
      <c r="J41" s="75"/>
      <c r="K41" s="75">
        <f>ROUND((fy16_summary_bnft_projection!M19/fy16_summary_bnft_projection!$M$13),3)</f>
        <v>0</v>
      </c>
      <c r="L41" s="75"/>
      <c r="M41" s="75">
        <f t="shared" ref="M41:M59" si="0">M9</f>
        <v>0</v>
      </c>
      <c r="N41" s="75"/>
      <c r="O41" s="75">
        <f>ROUND((fy16_summary_bnft_projection!Q19/fy16_summary_bnft_projection!$Q$13),3)</f>
        <v>0</v>
      </c>
      <c r="P41" s="94"/>
      <c r="Q41" s="81"/>
    </row>
    <row r="42" spans="2:17" x14ac:dyDescent="0.25">
      <c r="B42" s="76" t="s">
        <v>133</v>
      </c>
      <c r="C42" s="75">
        <f>ROUND((fy16_summary_bnft_projection!E20/fy16_summary_bnft_projection!$E$13),3)</f>
        <v>1.4E-2</v>
      </c>
      <c r="D42" s="75"/>
      <c r="E42" s="75">
        <f>ROUND((fy16_summary_bnft_projection!G20/fy16_summary_bnft_projection!$G$13),3)</f>
        <v>1.4E-2</v>
      </c>
      <c r="F42" s="75"/>
      <c r="G42" s="75">
        <f>ROUND((fy16_summary_bnft_projection!I20/fy16_summary_bnft_projection!$I$13),3)</f>
        <v>1.4E-2</v>
      </c>
      <c r="H42" s="75"/>
      <c r="I42" s="75">
        <f>ROUND((fy16_summary_bnft_projection!K20/fy16_summary_bnft_projection!$K$13),3)</f>
        <v>1.4E-2</v>
      </c>
      <c r="J42" s="75"/>
      <c r="K42" s="75">
        <f>ROUND((fy16_summary_bnft_projection!M20/fy16_summary_bnft_projection!$M$13),3)</f>
        <v>0</v>
      </c>
      <c r="L42" s="75"/>
      <c r="M42" s="75">
        <f t="shared" si="0"/>
        <v>0</v>
      </c>
      <c r="N42" s="75"/>
      <c r="O42" s="75">
        <f>ROUND((fy16_summary_bnft_projection!Q20/fy16_summary_bnft_projection!$Q$13),3)</f>
        <v>0</v>
      </c>
      <c r="P42" s="94"/>
      <c r="Q42" s="81"/>
    </row>
    <row r="43" spans="2:17" x14ac:dyDescent="0.25">
      <c r="B43" s="77" t="s">
        <v>134</v>
      </c>
      <c r="C43" s="78">
        <f>ROUND((0.89*C$49),3)+0.001</f>
        <v>0.16700000000000001</v>
      </c>
      <c r="D43" s="78"/>
      <c r="E43" s="78">
        <f>ROUND((0.89*E$49),3)</f>
        <v>0.128</v>
      </c>
      <c r="F43" s="78"/>
      <c r="G43" s="78">
        <f>ROUND((0.89*G$49),3)+0.001</f>
        <v>0.26100000000000001</v>
      </c>
      <c r="H43" s="78"/>
      <c r="I43" s="78">
        <f>ROUND((0.89*I$49),3)</f>
        <v>0</v>
      </c>
      <c r="J43" s="78"/>
      <c r="K43" s="78">
        <f>ROUND((0.89*K$49),3)</f>
        <v>0</v>
      </c>
      <c r="L43" s="78"/>
      <c r="M43" s="78">
        <f>ROUND((0.89*M$49),3)</f>
        <v>3.1E-2</v>
      </c>
      <c r="N43" s="78"/>
      <c r="O43" s="78">
        <v>0</v>
      </c>
      <c r="P43" s="94"/>
      <c r="Q43" s="81"/>
    </row>
    <row r="44" spans="2:17" x14ac:dyDescent="0.25">
      <c r="B44" s="77" t="s">
        <v>135</v>
      </c>
      <c r="C44" s="78">
        <f>ROUND((0.074*C$49),3)</f>
        <v>1.4E-2</v>
      </c>
      <c r="D44" s="78"/>
      <c r="E44" s="78">
        <f>ROUND((0.074*E$49),3)</f>
        <v>1.0999999999999999E-2</v>
      </c>
      <c r="F44" s="78"/>
      <c r="G44" s="78">
        <f>ROUND((0.074*G$49),3)</f>
        <v>2.1999999999999999E-2</v>
      </c>
      <c r="H44" s="78"/>
      <c r="I44" s="78">
        <f>ROUND((0.074*I$49),3)</f>
        <v>0</v>
      </c>
      <c r="J44" s="78"/>
      <c r="K44" s="78">
        <f>ROUND((0.074*K$49),3)</f>
        <v>0</v>
      </c>
      <c r="L44" s="78"/>
      <c r="M44" s="78">
        <f>ROUND((0.074*M$49),3)</f>
        <v>3.0000000000000001E-3</v>
      </c>
      <c r="N44" s="78"/>
      <c r="O44" s="78">
        <v>0</v>
      </c>
      <c r="P44" s="94"/>
      <c r="Q44" s="81"/>
    </row>
    <row r="45" spans="2:17" x14ac:dyDescent="0.25">
      <c r="B45" s="77" t="s">
        <v>136</v>
      </c>
      <c r="C45" s="78">
        <f>ROUND((0.02*C$49),3)</f>
        <v>4.0000000000000001E-3</v>
      </c>
      <c r="D45" s="78"/>
      <c r="E45" s="78">
        <f>ROUND((0.02*E$49),3)</f>
        <v>3.0000000000000001E-3</v>
      </c>
      <c r="F45" s="78"/>
      <c r="G45" s="78">
        <f>ROUND((0.02*G$49),3)</f>
        <v>6.0000000000000001E-3</v>
      </c>
      <c r="H45" s="78"/>
      <c r="I45" s="78">
        <f>ROUND((0.02*I$49),3)</f>
        <v>0</v>
      </c>
      <c r="J45" s="78"/>
      <c r="K45" s="78">
        <f>ROUND((0.02*K$49),3)</f>
        <v>0</v>
      </c>
      <c r="L45" s="78"/>
      <c r="M45" s="78">
        <f>ROUND((0.02*M$49),3)</f>
        <v>1E-3</v>
      </c>
      <c r="N45" s="78"/>
      <c r="O45" s="78">
        <v>0</v>
      </c>
      <c r="P45" s="94"/>
      <c r="Q45" s="81"/>
    </row>
    <row r="46" spans="2:17" x14ac:dyDescent="0.25">
      <c r="B46" s="77" t="s">
        <v>137</v>
      </c>
      <c r="C46" s="78">
        <f>ROUND((0.008*C$49),3)</f>
        <v>1E-3</v>
      </c>
      <c r="D46" s="78"/>
      <c r="E46" s="78">
        <f>ROUND((0.008*E$49),3)</f>
        <v>1E-3</v>
      </c>
      <c r="F46" s="78"/>
      <c r="G46" s="78">
        <f>ROUND((0.008*G$49),3)</f>
        <v>2E-3</v>
      </c>
      <c r="H46" s="78"/>
      <c r="I46" s="78">
        <f>ROUND((0.008*I$49),3)</f>
        <v>0</v>
      </c>
      <c r="J46" s="78"/>
      <c r="K46" s="78">
        <f>ROUND((0.008*K$49),3)</f>
        <v>0</v>
      </c>
      <c r="L46" s="78"/>
      <c r="M46" s="78">
        <f>ROUND((0.008*M$49),3)</f>
        <v>0</v>
      </c>
      <c r="N46" s="78"/>
      <c r="O46" s="78">
        <v>0</v>
      </c>
      <c r="P46" s="94"/>
      <c r="Q46" s="81"/>
    </row>
    <row r="47" spans="2:17" x14ac:dyDescent="0.25">
      <c r="B47" s="77" t="s">
        <v>138</v>
      </c>
      <c r="C47" s="78">
        <f>ROUND((0.008*C$49),3)</f>
        <v>1E-3</v>
      </c>
      <c r="D47" s="78"/>
      <c r="E47" s="78">
        <f>ROUND((0.008*E$49),3)</f>
        <v>1E-3</v>
      </c>
      <c r="F47" s="78"/>
      <c r="G47" s="78">
        <f>ROUND((0.008*G$49),3)</f>
        <v>2E-3</v>
      </c>
      <c r="H47" s="78"/>
      <c r="I47" s="78">
        <f>ROUND((0.008*I$49),3)</f>
        <v>0</v>
      </c>
      <c r="J47" s="78"/>
      <c r="K47" s="78">
        <f>ROUND((0.008*K$49),3)</f>
        <v>0</v>
      </c>
      <c r="L47" s="78"/>
      <c r="M47" s="78">
        <f>ROUND((0.008*M$49),3)</f>
        <v>0</v>
      </c>
      <c r="N47" s="78"/>
      <c r="O47" s="78">
        <v>0</v>
      </c>
      <c r="P47" s="94"/>
      <c r="Q47" s="81"/>
    </row>
    <row r="48" spans="2:17" x14ac:dyDescent="0.25">
      <c r="B48" s="77" t="s">
        <v>139</v>
      </c>
      <c r="C48" s="78">
        <f>SUM(C43:C47)</f>
        <v>0.18700000000000003</v>
      </c>
      <c r="D48" s="78"/>
      <c r="E48" s="78">
        <f>SUM(E43:E47)</f>
        <v>0.14400000000000002</v>
      </c>
      <c r="F48" s="78"/>
      <c r="G48" s="78">
        <f>SUM(G43:G47)</f>
        <v>0.29300000000000004</v>
      </c>
      <c r="H48" s="78"/>
      <c r="I48" s="78">
        <f>SUM(I43:I47)</f>
        <v>0</v>
      </c>
      <c r="J48" s="78"/>
      <c r="K48" s="78">
        <f>SUM(K43:K47)</f>
        <v>0</v>
      </c>
      <c r="L48" s="78"/>
      <c r="M48" s="78">
        <f>SUM(M43:M47)</f>
        <v>3.5000000000000003E-2</v>
      </c>
      <c r="N48" s="78"/>
      <c r="O48" s="78">
        <f>SUM(O43:O47)</f>
        <v>0</v>
      </c>
      <c r="P48" s="94"/>
      <c r="Q48" s="81"/>
    </row>
    <row r="49" spans="2:22" hidden="1" x14ac:dyDescent="0.25">
      <c r="B49" s="76" t="s">
        <v>140</v>
      </c>
      <c r="C49" s="75">
        <f>ROUND((fy16_summary_bnft_projection!E28/fy16_summary_bnft_projection!$E$13),3)+0.001</f>
        <v>0.187</v>
      </c>
      <c r="D49" s="75"/>
      <c r="E49" s="75">
        <f>ROUND((fy16_summary_bnft_projection!G28/fy16_summary_bnft_projection!$G$13),3)</f>
        <v>0.14399999999999999</v>
      </c>
      <c r="F49" s="75"/>
      <c r="G49" s="75">
        <f>ROUND((fy16_summary_bnft_projection!I28/fy16_summary_bnft_projection!$I$13),3)+0.0005</f>
        <v>0.29249999999999998</v>
      </c>
      <c r="H49" s="75"/>
      <c r="I49" s="75">
        <f>ROUND((fy16_summary_bnft_projection!K28/fy16_summary_bnft_projection!$K$13),3)</f>
        <v>0</v>
      </c>
      <c r="J49" s="75"/>
      <c r="K49" s="75">
        <f>ROUND((fy16_summary_bnft_projection!M28/fy16_summary_bnft_projection!$M$13),3)</f>
        <v>0</v>
      </c>
      <c r="L49" s="75"/>
      <c r="M49" s="75">
        <f t="shared" si="0"/>
        <v>3.5000000000000003E-2</v>
      </c>
      <c r="N49" s="75"/>
      <c r="O49" s="75">
        <f>ROUND((fy16_summary_bnft_projection!Q28/fy16_summary_bnft_projection!$Q$13),3)</f>
        <v>0</v>
      </c>
      <c r="P49" s="94"/>
      <c r="Q49" s="81"/>
    </row>
    <row r="50" spans="2:22" x14ac:dyDescent="0.25">
      <c r="B50" s="76" t="s">
        <v>141</v>
      </c>
      <c r="C50" s="75">
        <f>ROUND(((fy16_summary_bnft_projection!E26+fy16_summary_bnft_projection!E29)/fy16_summary_bnft_projection!$E$13),3)</f>
        <v>5.0000000000000001E-3</v>
      </c>
      <c r="D50" s="75"/>
      <c r="E50" s="75">
        <f>ROUND(((fy16_summary_bnft_projection!G26+fy16_summary_bnft_projection!G29)/fy16_summary_bnft_projection!$G$13),3)</f>
        <v>4.0000000000000001E-3</v>
      </c>
      <c r="F50" s="75"/>
      <c r="G50" s="75">
        <f>ROUND(((fy16_summary_bnft_projection!I26+fy16_summary_bnft_projection!I29)/fy16_summary_bnft_projection!$I$13),3)</f>
        <v>6.0000000000000001E-3</v>
      </c>
      <c r="H50" s="75"/>
      <c r="I50" s="75">
        <f>ROUND(((fy16_summary_bnft_projection!K26+fy16_summary_bnft_projection!K29)/fy16_summary_bnft_projection!$K$13),3)</f>
        <v>3.0000000000000001E-3</v>
      </c>
      <c r="J50" s="75"/>
      <c r="K50" s="75">
        <f>ROUND(((fy16_summary_bnft_projection!M26+fy16_summary_bnft_projection!M29)/fy16_summary_bnft_projection!$M$13),3)</f>
        <v>3.0000000000000001E-3</v>
      </c>
      <c r="L50" s="75"/>
      <c r="M50" s="75">
        <f t="shared" si="0"/>
        <v>0</v>
      </c>
      <c r="N50" s="75"/>
      <c r="O50" s="75">
        <f>ROUND(((fy16_summary_bnft_projection!Q26+fy16_summary_bnft_projection!Q29)/fy16_summary_bnft_projection!$Q$13),3)</f>
        <v>3.0000000000000001E-3</v>
      </c>
      <c r="P50" s="94"/>
      <c r="Q50" s="81"/>
    </row>
    <row r="51" spans="2:22" x14ac:dyDescent="0.25">
      <c r="B51" s="76" t="s">
        <v>142</v>
      </c>
      <c r="C51" s="75">
        <f>ROUND((fy16_summary_bnft_projection!E21/fy16_summary_bnft_projection!$E$13),3)</f>
        <v>3.0000000000000001E-3</v>
      </c>
      <c r="D51" s="75"/>
      <c r="E51" s="75">
        <f>ROUND((fy16_summary_bnft_projection!G21/fy16_summary_bnft_projection!$G$13),3)</f>
        <v>3.0000000000000001E-3</v>
      </c>
      <c r="F51" s="75"/>
      <c r="G51" s="75">
        <f>ROUND((fy16_summary_bnft_projection!I21/fy16_summary_bnft_projection!$I$13),3)</f>
        <v>3.0000000000000001E-3</v>
      </c>
      <c r="H51" s="75"/>
      <c r="I51" s="75">
        <f>ROUND((fy16_summary_bnft_projection!K21/fy16_summary_bnft_projection!$K$13),3)</f>
        <v>0</v>
      </c>
      <c r="J51" s="75"/>
      <c r="K51" s="75">
        <f>ROUND((fy16_summary_bnft_projection!M21/fy16_summary_bnft_projection!$M$13),3)</f>
        <v>0</v>
      </c>
      <c r="L51" s="75"/>
      <c r="M51" s="75">
        <f t="shared" si="0"/>
        <v>0</v>
      </c>
      <c r="N51" s="75"/>
      <c r="O51" s="75">
        <f>ROUND((fy16_summary_bnft_projection!Q21/fy16_summary_bnft_projection!$Q$13),3)</f>
        <v>0</v>
      </c>
      <c r="P51" s="94"/>
      <c r="Q51" s="79"/>
      <c r="R51" s="79"/>
      <c r="S51" s="79"/>
      <c r="T51" s="79"/>
      <c r="U51" s="79"/>
      <c r="V51" s="79"/>
    </row>
    <row r="52" spans="2:22" x14ac:dyDescent="0.25">
      <c r="B52" s="76" t="s">
        <v>143</v>
      </c>
      <c r="C52" s="75">
        <f>ROUND((fy16_summary_bnft_projection!E22/fy16_summary_bnft_projection!$E$13),3)</f>
        <v>3.0000000000000001E-3</v>
      </c>
      <c r="D52" s="75"/>
      <c r="E52" s="75">
        <f>ROUND((fy16_summary_bnft_projection!G22/fy16_summary_bnft_projection!$G$13),3)</f>
        <v>3.0000000000000001E-3</v>
      </c>
      <c r="F52" s="75"/>
      <c r="G52" s="75">
        <f>ROUND((fy16_summary_bnft_projection!I22/fy16_summary_bnft_projection!$I$13),3)</f>
        <v>3.0000000000000001E-3</v>
      </c>
      <c r="H52" s="75"/>
      <c r="I52" s="75">
        <f>ROUND((fy16_summary_bnft_projection!K22/fy16_summary_bnft_projection!$K$13),3)</f>
        <v>0</v>
      </c>
      <c r="J52" s="75"/>
      <c r="K52" s="75">
        <f>ROUND((fy16_summary_bnft_projection!M22/fy16_summary_bnft_projection!$M$13),3)</f>
        <v>0</v>
      </c>
      <c r="L52" s="75"/>
      <c r="M52" s="75">
        <f t="shared" si="0"/>
        <v>0</v>
      </c>
      <c r="N52" s="75"/>
      <c r="O52" s="75">
        <f>ROUND((fy16_summary_bnft_projection!Q22/fy16_summary_bnft_projection!$Q$13),3)</f>
        <v>0</v>
      </c>
      <c r="P52" s="94"/>
      <c r="Q52" s="81"/>
    </row>
    <row r="53" spans="2:22" x14ac:dyDescent="0.25">
      <c r="B53" s="76" t="s">
        <v>144</v>
      </c>
      <c r="C53" s="75">
        <f>ROUND((fy16_summary_bnft_projection!E23/fy16_summary_bnft_projection!$E$13),3)</f>
        <v>1E-3</v>
      </c>
      <c r="D53" s="75"/>
      <c r="E53" s="75">
        <f>ROUND((fy16_summary_bnft_projection!G23/fy16_summary_bnft_projection!$G$13),3)</f>
        <v>1E-3</v>
      </c>
      <c r="F53" s="75"/>
      <c r="G53" s="75">
        <f>ROUND((fy16_summary_bnft_projection!I23/fy16_summary_bnft_projection!$I$13),3)</f>
        <v>1E-3</v>
      </c>
      <c r="H53" s="75"/>
      <c r="I53" s="75">
        <f>ROUND((fy16_summary_bnft_projection!K23/fy16_summary_bnft_projection!$K$13),3)</f>
        <v>1E-3</v>
      </c>
      <c r="J53" s="75"/>
      <c r="K53" s="75">
        <f>ROUND((fy16_summary_bnft_projection!M23/fy16_summary_bnft_projection!$M$13),3)</f>
        <v>0</v>
      </c>
      <c r="L53" s="75"/>
      <c r="M53" s="75">
        <f t="shared" si="0"/>
        <v>0</v>
      </c>
      <c r="N53" s="75"/>
      <c r="O53" s="75">
        <f>ROUND((fy16_summary_bnft_projection!Q23/fy16_summary_bnft_projection!$Q$13),3)</f>
        <v>0</v>
      </c>
      <c r="P53" s="94"/>
      <c r="Q53" s="81"/>
    </row>
    <row r="54" spans="2:22" x14ac:dyDescent="0.25">
      <c r="B54" s="76" t="s">
        <v>145</v>
      </c>
      <c r="C54" s="75">
        <f>ROUND((fy16_summary_bnft_projection!E25/fy16_summary_bnft_projection!$E$13),3)</f>
        <v>0.01</v>
      </c>
      <c r="D54" s="75"/>
      <c r="E54" s="75">
        <f>ROUND((fy16_summary_bnft_projection!G25/fy16_summary_bnft_projection!$G$13),3)</f>
        <v>0.01</v>
      </c>
      <c r="F54" s="75"/>
      <c r="G54" s="75">
        <f>ROUND((fy16_summary_bnft_projection!I25/fy16_summary_bnft_projection!$I$13),3)</f>
        <v>0.01</v>
      </c>
      <c r="H54" s="75"/>
      <c r="I54" s="75">
        <f>ROUND((fy16_summary_bnft_projection!K25/fy16_summary_bnft_projection!$K$13),3)+0.001</f>
        <v>1.0999999999999999E-2</v>
      </c>
      <c r="J54" s="75"/>
      <c r="K54" s="75">
        <f>ROUND((fy16_summary_bnft_projection!M25/fy16_summary_bnft_projection!$M$13),3)</f>
        <v>0.01</v>
      </c>
      <c r="L54" s="75"/>
      <c r="M54" s="75">
        <f t="shared" si="0"/>
        <v>0</v>
      </c>
      <c r="N54" s="75"/>
      <c r="O54" s="75">
        <f>ROUND((fy16_summary_bnft_projection!Q25/fy16_summary_bnft_projection!$Q$13),3)+0.001</f>
        <v>1.0999999999999999E-2</v>
      </c>
      <c r="P54" s="94"/>
      <c r="Q54" s="81"/>
    </row>
    <row r="55" spans="2:22" x14ac:dyDescent="0.25">
      <c r="B55" s="76" t="s">
        <v>146</v>
      </c>
      <c r="C55" s="75">
        <f>ROUND((fy16_summary_bnft_projection!E30/fy16_summary_bnft_projection!$E$13),3)</f>
        <v>1E-3</v>
      </c>
      <c r="D55" s="75"/>
      <c r="E55" s="75">
        <f>ROUND((fy16_summary_bnft_projection!G30/fy16_summary_bnft_projection!$G$13),3)</f>
        <v>1E-3</v>
      </c>
      <c r="F55" s="75"/>
      <c r="G55" s="75">
        <f>ROUND((fy16_summary_bnft_projection!I30/fy16_summary_bnft_projection!$I$13),3)</f>
        <v>2E-3</v>
      </c>
      <c r="H55" s="75"/>
      <c r="I55" s="75">
        <f>ROUND((fy16_summary_bnft_projection!K30/fy16_summary_bnft_projection!$K$13),3)</f>
        <v>0</v>
      </c>
      <c r="J55" s="75"/>
      <c r="K55" s="75">
        <f>ROUND((fy16_summary_bnft_projection!M30/fy16_summary_bnft_projection!$M$13),3)</f>
        <v>0</v>
      </c>
      <c r="L55" s="75"/>
      <c r="M55" s="75">
        <f t="shared" si="0"/>
        <v>0</v>
      </c>
      <c r="N55" s="75"/>
      <c r="O55" s="75">
        <f>ROUND((fy16_summary_bnft_projection!Q30/fy16_summary_bnft_projection!$Q$13),3)</f>
        <v>0</v>
      </c>
      <c r="P55" s="94"/>
      <c r="Q55" s="81"/>
    </row>
    <row r="56" spans="2:22" x14ac:dyDescent="0.25">
      <c r="B56" s="76" t="s">
        <v>147</v>
      </c>
      <c r="C56" s="75">
        <f>ROUND((fy16_summary_bnft_projection!E31/fy16_summary_bnft_projection!$E$13),3)</f>
        <v>0.01</v>
      </c>
      <c r="D56" s="75"/>
      <c r="E56" s="75">
        <f>ROUND((fy16_summary_bnft_projection!G31/fy16_summary_bnft_projection!$G$13),3)</f>
        <v>8.0000000000000002E-3</v>
      </c>
      <c r="F56" s="75"/>
      <c r="G56" s="75">
        <f>ROUND((fy16_summary_bnft_projection!I31/fy16_summary_bnft_projection!$I$13),3)</f>
        <v>1.6E-2</v>
      </c>
      <c r="H56" s="75"/>
      <c r="I56" s="75">
        <f>ROUND((fy16_summary_bnft_projection!K31/fy16_summary_bnft_projection!$K$13),3)</f>
        <v>0</v>
      </c>
      <c r="J56" s="75"/>
      <c r="K56" s="75">
        <f>ROUND((fy16_summary_bnft_projection!M31/fy16_summary_bnft_projection!$M$13),3)</f>
        <v>0</v>
      </c>
      <c r="L56" s="75"/>
      <c r="M56" s="75">
        <f t="shared" si="0"/>
        <v>2E-3</v>
      </c>
      <c r="N56" s="75"/>
      <c r="O56" s="75">
        <f>ROUND((fy16_summary_bnft_projection!Q31/fy16_summary_bnft_projection!$Q$13),3)</f>
        <v>0</v>
      </c>
      <c r="P56" s="94"/>
      <c r="Q56" s="81"/>
    </row>
    <row r="57" spans="2:22" x14ac:dyDescent="0.25">
      <c r="B57" s="76" t="s">
        <v>148</v>
      </c>
      <c r="C57" s="75">
        <f>ROUND((fy16_summary_bnft_projection!E27/fy16_summary_bnft_projection!$E$13),3)</f>
        <v>0</v>
      </c>
      <c r="D57" s="75"/>
      <c r="E57" s="75">
        <f>ROUND((fy16_summary_bnft_projection!G27/fy16_summary_bnft_projection!$G$13),3)</f>
        <v>0</v>
      </c>
      <c r="F57" s="75"/>
      <c r="G57" s="75">
        <f>ROUND((fy16_summary_bnft_projection!I27/fy16_summary_bnft_projection!$I$13),3)</f>
        <v>0</v>
      </c>
      <c r="H57" s="75"/>
      <c r="I57" s="75">
        <f>ROUND((fy16_summary_bnft_projection!K27/fy16_summary_bnft_projection!$K$13),3)</f>
        <v>0</v>
      </c>
      <c r="J57" s="75"/>
      <c r="K57" s="75">
        <f>ROUND((fy16_summary_bnft_projection!M27/fy16_summary_bnft_projection!$M$13),3)</f>
        <v>0</v>
      </c>
      <c r="L57" s="75"/>
      <c r="M57" s="75">
        <f t="shared" si="0"/>
        <v>0</v>
      </c>
      <c r="N57" s="75"/>
      <c r="O57" s="75">
        <f>ROUND((fy16_summary_bnft_projection!Q27/fy16_summary_bnft_projection!$Q$13),3)</f>
        <v>0.11700000000000001</v>
      </c>
      <c r="P57" s="94"/>
      <c r="Q57" s="81"/>
    </row>
    <row r="58" spans="2:22" x14ac:dyDescent="0.25">
      <c r="B58" s="76" t="s">
        <v>149</v>
      </c>
      <c r="C58" s="75">
        <f>ROUND((fy16_summary_bnft_projection!E32/fy16_summary_bnft_projection!$E$13),3)</f>
        <v>1.2999999999999999E-2</v>
      </c>
      <c r="D58" s="75"/>
      <c r="E58" s="75">
        <f>ROUND((fy16_summary_bnft_projection!G32/fy16_summary_bnft_projection!$G$13),3)</f>
        <v>0.01</v>
      </c>
      <c r="F58" s="75"/>
      <c r="G58" s="75">
        <f>ROUND((fy16_summary_bnft_projection!I32/fy16_summary_bnft_projection!$I$13),3)</f>
        <v>0.02</v>
      </c>
      <c r="H58" s="75"/>
      <c r="I58" s="75">
        <f>ROUND((fy16_summary_bnft_projection!K32/fy16_summary_bnft_projection!$K$13),3)</f>
        <v>0</v>
      </c>
      <c r="J58" s="75"/>
      <c r="K58" s="75">
        <f>ROUND((fy16_summary_bnft_projection!M32/fy16_summary_bnft_projection!$M$13),3)</f>
        <v>0</v>
      </c>
      <c r="L58" s="75"/>
      <c r="M58" s="75">
        <f t="shared" si="0"/>
        <v>2E-3</v>
      </c>
      <c r="N58" s="75"/>
      <c r="O58" s="75">
        <f>ROUND((fy16_summary_bnft_projection!Q32/fy16_summary_bnft_projection!$Q$13),3)</f>
        <v>0</v>
      </c>
      <c r="P58" s="94"/>
      <c r="Q58" s="81"/>
    </row>
    <row r="59" spans="2:22" x14ac:dyDescent="0.25">
      <c r="B59" s="76" t="s">
        <v>150</v>
      </c>
      <c r="C59" s="75">
        <f>ROUND((fy16_summary_bnft_projection!E33/fy16_summary_bnft_projection!$E$13),3)</f>
        <v>6.0000000000000001E-3</v>
      </c>
      <c r="D59" s="75"/>
      <c r="E59" s="75">
        <f>ROUND((fy16_summary_bnft_projection!G33/fy16_summary_bnft_projection!$G$13),3)</f>
        <v>5.0000000000000001E-3</v>
      </c>
      <c r="F59" s="75"/>
      <c r="G59" s="75">
        <f>ROUND((fy16_summary_bnft_projection!I33/fy16_summary_bnft_projection!$I$13),3)</f>
        <v>0.01</v>
      </c>
      <c r="H59" s="75"/>
      <c r="I59" s="75">
        <f>ROUND((fy16_summary_bnft_projection!K33/fy16_summary_bnft_projection!$K$13),3)</f>
        <v>0</v>
      </c>
      <c r="J59" s="75"/>
      <c r="K59" s="75">
        <f>ROUND((fy16_summary_bnft_projection!M33/fy16_summary_bnft_projection!$M$13),3)</f>
        <v>0</v>
      </c>
      <c r="L59" s="75"/>
      <c r="M59" s="75">
        <f t="shared" si="0"/>
        <v>1E-3</v>
      </c>
      <c r="N59" s="75"/>
      <c r="O59" s="75">
        <f>ROUND((fy16_summary_bnft_projection!Q33/fy16_summary_bnft_projection!$Q$13),3)</f>
        <v>0</v>
      </c>
      <c r="P59" s="94"/>
      <c r="Q59" s="81"/>
    </row>
    <row r="60" spans="2:22" x14ac:dyDescent="0.25">
      <c r="B60" s="82" t="s">
        <v>151</v>
      </c>
      <c r="C60" s="83">
        <f>SUM(C40:C47,C50:C59)</f>
        <v>0.39300000000000013</v>
      </c>
      <c r="D60" s="83">
        <f>SUM(D40:D42,D49:D59)</f>
        <v>0</v>
      </c>
      <c r="E60" s="83">
        <f>SUM(E40:E47,E50:E59)</f>
        <v>0.34300000000000008</v>
      </c>
      <c r="F60" s="83">
        <f>SUM(F40:F42,F49:F59)</f>
        <v>0</v>
      </c>
      <c r="G60" s="83">
        <f>SUM(G40:G47,G50:G59)</f>
        <v>0.51800000000000013</v>
      </c>
      <c r="H60" s="83">
        <f>SUM(H40:H42,H49:H59)</f>
        <v>0</v>
      </c>
      <c r="I60" s="83">
        <f>SUM(I40:I47,I50:I59)</f>
        <v>0.16900000000000004</v>
      </c>
      <c r="J60" s="83">
        <f>SUM(J40:J42,J49:J59)</f>
        <v>0</v>
      </c>
      <c r="K60" s="83">
        <f>SUM(K40:K47,K50:K59)</f>
        <v>1.3000000000000001E-2</v>
      </c>
      <c r="L60" s="83">
        <f>SUM(L40:L42,L49:L59)</f>
        <v>0</v>
      </c>
      <c r="M60" s="83">
        <f>SUM(M40:M47,M50:M59)</f>
        <v>4.0000000000000008E-2</v>
      </c>
      <c r="N60" s="83">
        <f>SUM(N40:N42,N49:N59)</f>
        <v>0</v>
      </c>
      <c r="O60" s="83">
        <f>SUM(O40:O47,O50:O59)</f>
        <v>0.13100000000000001</v>
      </c>
      <c r="P60" s="94"/>
      <c r="Q60" s="94"/>
    </row>
    <row r="61" spans="2:22" x14ac:dyDescent="0.25">
      <c r="C61" s="80"/>
      <c r="D61" s="80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94"/>
      <c r="Q61" s="94"/>
    </row>
    <row r="62" spans="2:22" s="91" customFormat="1" x14ac:dyDescent="0.25">
      <c r="B62" s="86" t="s">
        <v>152</v>
      </c>
      <c r="C62" s="87">
        <f>Rates!M21</f>
        <v>0.39300000000000002</v>
      </c>
      <c r="D62" s="87"/>
      <c r="E62" s="87">
        <f>Rates!M22</f>
        <v>0.34300000000000003</v>
      </c>
      <c r="F62" s="87"/>
      <c r="G62" s="87">
        <f>Rates!M23</f>
        <v>0.51800000000000002</v>
      </c>
      <c r="H62" s="87"/>
      <c r="I62" s="87">
        <f>Rates!M24</f>
        <v>0.16900000000000001</v>
      </c>
      <c r="J62" s="88"/>
      <c r="K62" s="88">
        <f>Rates!M25</f>
        <v>1.2999999999999999E-2</v>
      </c>
      <c r="L62" s="89"/>
      <c r="M62" s="89">
        <f>Rates!M26</f>
        <v>0.04</v>
      </c>
      <c r="N62" s="89"/>
      <c r="O62" s="90">
        <f>Rates!M27</f>
        <v>0.13100000000000001</v>
      </c>
      <c r="Q62" s="92"/>
    </row>
    <row r="63" spans="2:22" s="85" customFormat="1" x14ac:dyDescent="0.25">
      <c r="C63" s="99">
        <f>C60-C62</f>
        <v>0</v>
      </c>
      <c r="D63" s="99"/>
      <c r="E63" s="99">
        <f>E60-E62</f>
        <v>0</v>
      </c>
      <c r="F63" s="99"/>
      <c r="G63" s="99">
        <f>G60-G62</f>
        <v>0</v>
      </c>
      <c r="H63" s="99"/>
      <c r="I63" s="99">
        <f>I60-I62</f>
        <v>0</v>
      </c>
      <c r="J63" s="99"/>
      <c r="K63" s="99">
        <f>K60-K62</f>
        <v>0</v>
      </c>
      <c r="L63" s="99"/>
      <c r="M63" s="99">
        <f>M60-M62</f>
        <v>0</v>
      </c>
      <c r="N63" s="99"/>
      <c r="O63" s="99">
        <f>O60-O62</f>
        <v>0</v>
      </c>
    </row>
    <row r="64" spans="2:22" x14ac:dyDescent="0.25">
      <c r="C64" s="80"/>
      <c r="D64" s="80"/>
    </row>
    <row r="65" spans="3:4" x14ac:dyDescent="0.25">
      <c r="C65" s="80"/>
      <c r="D65" s="80"/>
    </row>
    <row r="66" spans="3:4" x14ac:dyDescent="0.25">
      <c r="C66" s="80"/>
      <c r="D66" s="80"/>
    </row>
    <row r="67" spans="3:4" x14ac:dyDescent="0.25">
      <c r="C67" s="80"/>
      <c r="D67" s="80"/>
    </row>
    <row r="68" spans="3:4" x14ac:dyDescent="0.25">
      <c r="C68" s="85"/>
      <c r="D68" s="85"/>
    </row>
    <row r="69" spans="3:4" x14ac:dyDescent="0.25">
      <c r="C69" s="85"/>
      <c r="D69" s="85"/>
    </row>
  </sheetData>
  <mergeCells count="4">
    <mergeCell ref="B1:M1"/>
    <mergeCell ref="B2:M2"/>
    <mergeCell ref="B33:M33"/>
    <mergeCell ref="B34:M34"/>
  </mergeCells>
  <printOptions horizontalCentered="1"/>
  <pageMargins left="0.2" right="0.2" top="1" bottom="1" header="0" footer="0"/>
  <pageSetup scale="82" fitToHeight="2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4"/>
  <sheetViews>
    <sheetView zoomScale="90" zoomScaleNormal="90" workbookViewId="0">
      <selection activeCell="AG41" sqref="AG41"/>
    </sheetView>
  </sheetViews>
  <sheetFormatPr defaultColWidth="12.5703125" defaultRowHeight="15.75" x14ac:dyDescent="0.25"/>
  <cols>
    <col min="1" max="1" width="0.7109375" style="33" customWidth="1"/>
    <col min="2" max="2" width="32.5703125" style="33" customWidth="1"/>
    <col min="3" max="3" width="13.42578125" style="33" customWidth="1"/>
    <col min="4" max="10" width="11.28515625" style="33" hidden="1" customWidth="1"/>
    <col min="11" max="18" width="0" style="33" hidden="1" customWidth="1"/>
    <col min="19" max="19" width="12.5703125" style="33"/>
    <col min="20" max="20" width="1.7109375" style="33" customWidth="1"/>
    <col min="21" max="21" width="12.5703125" style="33"/>
    <col min="22" max="22" width="1.7109375" style="33" customWidth="1"/>
    <col min="23" max="23" width="12.5703125" style="33"/>
    <col min="24" max="24" width="1.7109375" style="33" customWidth="1"/>
    <col min="25" max="25" width="12.5703125" style="33"/>
    <col min="26" max="26" width="1.7109375" style="33" customWidth="1"/>
    <col min="27" max="27" width="12.5703125" style="33"/>
    <col min="28" max="28" width="1.7109375" style="33" customWidth="1"/>
    <col min="29" max="29" width="12.5703125" style="33"/>
    <col min="30" max="30" width="1.7109375" style="33" customWidth="1"/>
    <col min="31" max="16384" width="12.5703125" style="33"/>
  </cols>
  <sheetData>
    <row r="1" spans="2:34" x14ac:dyDescent="0.25">
      <c r="B1" s="149" t="s">
        <v>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2:34" x14ac:dyDescent="0.25">
      <c r="B2" s="149" t="s">
        <v>301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AA2" s="33" t="s">
        <v>154</v>
      </c>
    </row>
    <row r="3" spans="2:34" x14ac:dyDescent="0.25">
      <c r="B3" s="33" t="s">
        <v>155</v>
      </c>
      <c r="L3" s="33" t="s">
        <v>156</v>
      </c>
      <c r="Q3" s="33" t="s">
        <v>157</v>
      </c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2:34" x14ac:dyDescent="0.25">
      <c r="D4" s="37" t="s">
        <v>16</v>
      </c>
      <c r="E4" s="37" t="s">
        <v>18</v>
      </c>
      <c r="F4" s="37" t="s">
        <v>20</v>
      </c>
      <c r="G4" s="37" t="s">
        <v>22</v>
      </c>
      <c r="H4" s="37" t="s">
        <v>24</v>
      </c>
      <c r="I4" s="37" t="s">
        <v>26</v>
      </c>
      <c r="J4" s="37" t="s">
        <v>28</v>
      </c>
      <c r="L4" s="37" t="s">
        <v>16</v>
      </c>
      <c r="M4" s="37" t="s">
        <v>18</v>
      </c>
      <c r="N4" s="37" t="s">
        <v>20</v>
      </c>
      <c r="O4" s="37" t="s">
        <v>22</v>
      </c>
      <c r="P4" s="37" t="s">
        <v>24</v>
      </c>
      <c r="Q4" s="37" t="s">
        <v>26</v>
      </c>
      <c r="R4" s="37" t="s">
        <v>28</v>
      </c>
      <c r="S4" s="100" t="s">
        <v>16</v>
      </c>
      <c r="T4" s="100"/>
      <c r="U4" s="100" t="s">
        <v>18</v>
      </c>
      <c r="V4" s="100"/>
      <c r="W4" s="100" t="s">
        <v>20</v>
      </c>
      <c r="X4" s="100"/>
      <c r="Y4" s="100" t="s">
        <v>22</v>
      </c>
      <c r="Z4" s="100"/>
      <c r="AA4" s="100" t="s">
        <v>24</v>
      </c>
      <c r="AB4" s="100"/>
      <c r="AC4" s="100" t="s">
        <v>26</v>
      </c>
      <c r="AD4" s="100"/>
      <c r="AE4" s="100" t="s">
        <v>28</v>
      </c>
    </row>
    <row r="5" spans="2:34" x14ac:dyDescent="0.25">
      <c r="B5" s="33" t="s">
        <v>78</v>
      </c>
      <c r="C5" s="33" t="s">
        <v>158</v>
      </c>
      <c r="D5" s="101" t="s">
        <v>6</v>
      </c>
      <c r="E5" s="101" t="s">
        <v>7</v>
      </c>
      <c r="F5" s="101" t="s">
        <v>159</v>
      </c>
      <c r="G5" s="101" t="s">
        <v>160</v>
      </c>
      <c r="H5" s="101" t="s">
        <v>107</v>
      </c>
      <c r="I5" s="101" t="s">
        <v>161</v>
      </c>
      <c r="J5" s="101" t="s">
        <v>162</v>
      </c>
      <c r="L5" s="101" t="s">
        <v>6</v>
      </c>
      <c r="M5" s="101" t="s">
        <v>7</v>
      </c>
      <c r="N5" s="101" t="s">
        <v>159</v>
      </c>
      <c r="O5" s="101" t="s">
        <v>160</v>
      </c>
      <c r="P5" s="101" t="s">
        <v>107</v>
      </c>
      <c r="Q5" s="101" t="s">
        <v>161</v>
      </c>
      <c r="R5" s="101" t="s">
        <v>162</v>
      </c>
      <c r="S5" s="100" t="s">
        <v>6</v>
      </c>
      <c r="T5" s="100"/>
      <c r="U5" s="100" t="s">
        <v>7</v>
      </c>
      <c r="V5" s="100"/>
      <c r="W5" s="100" t="s">
        <v>159</v>
      </c>
      <c r="X5" s="100"/>
      <c r="Y5" s="100" t="s">
        <v>160</v>
      </c>
      <c r="Z5" s="100"/>
      <c r="AA5" s="100" t="s">
        <v>107</v>
      </c>
      <c r="AB5" s="100"/>
      <c r="AC5" s="100" t="s">
        <v>161</v>
      </c>
      <c r="AD5" s="100"/>
      <c r="AE5" s="100" t="s">
        <v>162</v>
      </c>
    </row>
    <row r="6" spans="2:34" x14ac:dyDescent="0.25">
      <c r="B6" s="33" t="s">
        <v>38</v>
      </c>
      <c r="C6" s="102" t="s">
        <v>163</v>
      </c>
      <c r="D6" s="103">
        <f>'[1]Components 13-14'!C8/'[1]Components 13-14'!C$27</f>
        <v>0.47297297297297297</v>
      </c>
      <c r="E6" s="103">
        <f>'[1]Components 13-14'!E8/'[1]Components 13-14'!E$27</f>
        <v>0</v>
      </c>
      <c r="F6" s="103">
        <f>'[1]Components 13-14'!G8/'[1]Components 13-14'!G$27</f>
        <v>0</v>
      </c>
      <c r="G6" s="103">
        <f>'[1]Components 13-14'!I8/'[1]Components 13-14'!I$27</f>
        <v>0.86956521739130421</v>
      </c>
      <c r="H6" s="103">
        <f>'[1]Components 13-14'!K8/'[1]Components 13-14'!K$27</f>
        <v>0</v>
      </c>
      <c r="I6" s="103">
        <f>'[1]Components 13-14'!M8/'[1]Components 13-14'!M$27</f>
        <v>0</v>
      </c>
      <c r="J6" s="103">
        <f>'[1]Components 13-14'!O8/'[1]Components 13-14'!O$27</f>
        <v>0</v>
      </c>
      <c r="L6" s="100">
        <f t="shared" ref="L6:R9" si="0">ROUND(D6,3)</f>
        <v>0.47299999999999998</v>
      </c>
      <c r="M6" s="100">
        <f t="shared" si="0"/>
        <v>0</v>
      </c>
      <c r="N6" s="100">
        <f t="shared" si="0"/>
        <v>0</v>
      </c>
      <c r="O6" s="100">
        <f t="shared" si="0"/>
        <v>0.87</v>
      </c>
      <c r="P6" s="100">
        <f t="shared" si="0"/>
        <v>0</v>
      </c>
      <c r="Q6" s="100">
        <f t="shared" si="0"/>
        <v>0</v>
      </c>
      <c r="R6" s="100">
        <f t="shared" si="0"/>
        <v>0</v>
      </c>
      <c r="S6" s="100">
        <f>ROUND((Components!C8/Components!C$28),3)</f>
        <v>0.46100000000000002</v>
      </c>
      <c r="T6" s="100"/>
      <c r="U6" s="100">
        <f>ROUND((Components!E8/Components!E$28),3)</f>
        <v>0</v>
      </c>
      <c r="V6" s="100"/>
      <c r="W6" s="100">
        <f>ROUND((Components!G8/Components!G$28),3)</f>
        <v>0</v>
      </c>
      <c r="X6" s="100"/>
      <c r="Y6" s="100">
        <f>ROUND((Components!I8/Components!I$28),3)</f>
        <v>0.85899999999999999</v>
      </c>
      <c r="Z6" s="100"/>
      <c r="AA6" s="100">
        <f>ROUND((Components!K8/Components!K$28),3)</f>
        <v>0</v>
      </c>
      <c r="AB6" s="100"/>
      <c r="AC6" s="100">
        <f>ROUND((Components!M8/Components!M$28),3)</f>
        <v>0</v>
      </c>
      <c r="AD6" s="100"/>
      <c r="AE6" s="100">
        <f>ROUND((Components!O8/Components!O$28),3)</f>
        <v>0</v>
      </c>
      <c r="AH6" s="104"/>
    </row>
    <row r="7" spans="2:34" x14ac:dyDescent="0.25">
      <c r="B7" s="33" t="s">
        <v>40</v>
      </c>
      <c r="C7" s="102" t="s">
        <v>164</v>
      </c>
      <c r="D7" s="103">
        <f>'[1]Components 13-14'!C9/'[1]Components 13-14'!C$27</f>
        <v>0</v>
      </c>
      <c r="E7" s="103">
        <f>'[1]Components 13-14'!E9/'[1]Components 13-14'!E$27</f>
        <v>0.39772727272727265</v>
      </c>
      <c r="F7" s="103">
        <f>'[1]Components 13-14'!G9/'[1]Components 13-14'!G$27</f>
        <v>0.30634573304157547</v>
      </c>
      <c r="G7" s="103">
        <f>'[1]Components 13-14'!I9/'[1]Components 13-14'!I$27</f>
        <v>0</v>
      </c>
      <c r="H7" s="103">
        <f>'[1]Components 13-14'!K9/'[1]Components 13-14'!K$27</f>
        <v>0.13566586644548459</v>
      </c>
      <c r="I7" s="103">
        <f>'[1]Components 13-14'!M9/'[1]Components 13-14'!M$27</f>
        <v>0</v>
      </c>
      <c r="J7" s="103">
        <f>'[1]Components 13-14'!O9/'[1]Components 13-14'!O$27</f>
        <v>0</v>
      </c>
      <c r="L7" s="100">
        <f t="shared" si="0"/>
        <v>0</v>
      </c>
      <c r="M7" s="100">
        <f t="shared" si="0"/>
        <v>0.39800000000000002</v>
      </c>
      <c r="N7" s="100">
        <f t="shared" si="0"/>
        <v>0.30599999999999999</v>
      </c>
      <c r="O7" s="100">
        <f t="shared" si="0"/>
        <v>0</v>
      </c>
      <c r="P7" s="100">
        <f t="shared" si="0"/>
        <v>0.13600000000000001</v>
      </c>
      <c r="Q7" s="100">
        <f t="shared" si="0"/>
        <v>0</v>
      </c>
      <c r="R7" s="100">
        <f t="shared" si="0"/>
        <v>0</v>
      </c>
      <c r="S7" s="100">
        <f>ROUND((Components!C9/Components!C$28),3)</f>
        <v>0</v>
      </c>
      <c r="T7" s="100"/>
      <c r="U7" s="100">
        <f>ROUND((Components!E9/Components!E$28),3)</f>
        <v>0.378</v>
      </c>
      <c r="V7" s="100"/>
      <c r="W7" s="100">
        <f>ROUND((Components!G9/Components!G$28),3)</f>
        <v>0.27500000000000002</v>
      </c>
      <c r="X7" s="100"/>
      <c r="Y7" s="100">
        <f>ROUND((Components!I9/Components!I$28),3)</f>
        <v>0</v>
      </c>
      <c r="Z7" s="100"/>
      <c r="AA7" s="100">
        <f>ROUND((Components!K9/Components!K$28),3)</f>
        <v>0</v>
      </c>
      <c r="AB7" s="100"/>
      <c r="AC7" s="100">
        <f>ROUND((Components!M9/Components!M$28),3)</f>
        <v>0</v>
      </c>
      <c r="AD7" s="100"/>
      <c r="AE7" s="100">
        <f>ROUND((Components!O9/Components!O$28),3)</f>
        <v>0</v>
      </c>
      <c r="AH7" s="104"/>
    </row>
    <row r="8" spans="2:34" x14ac:dyDescent="0.25">
      <c r="B8" s="49" t="s">
        <v>173</v>
      </c>
      <c r="C8" s="102" t="s">
        <v>174</v>
      </c>
      <c r="D8" s="109">
        <f>'[1]Components 13-14'!C19/'[1]Components 13-14'!C$27</f>
        <v>1.0135135135135134E-2</v>
      </c>
      <c r="E8" s="109">
        <f>'[1]Components 13-14'!E19/'[1]Components 13-14'!E$27</f>
        <v>8.5227272727272704E-3</v>
      </c>
      <c r="F8" s="109">
        <f>'[1]Components 13-14'!G19/'[1]Components 13-14'!G$27</f>
        <v>6.5645514223194737E-3</v>
      </c>
      <c r="G8" s="109">
        <f>'[1]Components 13-14'!I19/'[1]Components 13-14'!I$27</f>
        <v>0</v>
      </c>
      <c r="H8" s="109">
        <f>'[1]Components 13-14'!K19/'[1]Components 13-14'!K$27</f>
        <v>0</v>
      </c>
      <c r="I8" s="109">
        <f>'[1]Components 13-14'!M19/'[1]Components 13-14'!M$27</f>
        <v>0</v>
      </c>
      <c r="J8" s="109">
        <f>'[1]Components 13-14'!O19/'[1]Components 13-14'!O$27</f>
        <v>0</v>
      </c>
      <c r="K8" s="49"/>
      <c r="L8" s="110">
        <f t="shared" ref="L8:R8" si="1">ROUND(D8,3)</f>
        <v>0.01</v>
      </c>
      <c r="M8" s="110">
        <f t="shared" si="1"/>
        <v>8.9999999999999993E-3</v>
      </c>
      <c r="N8" s="110">
        <f t="shared" si="1"/>
        <v>7.0000000000000001E-3</v>
      </c>
      <c r="O8" s="110">
        <f t="shared" si="1"/>
        <v>0</v>
      </c>
      <c r="P8" s="110">
        <f t="shared" si="1"/>
        <v>0</v>
      </c>
      <c r="Q8" s="110">
        <f t="shared" si="1"/>
        <v>0</v>
      </c>
      <c r="R8" s="110">
        <f t="shared" si="1"/>
        <v>0</v>
      </c>
      <c r="S8" s="100">
        <f>ROUND((Components!C20/Components!C$28),3)</f>
        <v>0.01</v>
      </c>
      <c r="T8" s="100"/>
      <c r="U8" s="100">
        <f>ROUND((Components!E20/Components!E$28),3)</f>
        <v>8.0000000000000002E-3</v>
      </c>
      <c r="V8" s="100"/>
      <c r="W8" s="100">
        <f>ROUND((Components!G20/Components!G$28),3)</f>
        <v>6.0000000000000001E-3</v>
      </c>
      <c r="X8" s="100"/>
      <c r="Y8" s="100">
        <f>ROUND((Components!I20/Components!I$28),3)</f>
        <v>0</v>
      </c>
      <c r="Z8" s="100"/>
      <c r="AA8" s="100">
        <f>ROUND((Components!K20/Components!K$28),3)</f>
        <v>0</v>
      </c>
      <c r="AB8" s="100"/>
      <c r="AC8" s="100">
        <f>ROUND((Components!M20/Components!M$28),3)</f>
        <v>0</v>
      </c>
      <c r="AD8" s="100"/>
      <c r="AE8" s="100">
        <f>ROUND((Components!O20/Components!O$28),3)</f>
        <v>0</v>
      </c>
      <c r="AH8" s="104"/>
    </row>
    <row r="9" spans="2:34" x14ac:dyDescent="0.25">
      <c r="B9" s="33" t="s">
        <v>133</v>
      </c>
      <c r="C9" s="102" t="s">
        <v>165</v>
      </c>
      <c r="D9" s="103">
        <f>'[1]Components 13-14'!C10/'[1]Components 13-14'!C$27</f>
        <v>4.3918918918918907E-2</v>
      </c>
      <c r="E9" s="103">
        <f>'[1]Components 13-14'!E10/'[1]Components 13-14'!E$27</f>
        <v>3.693181818181817E-2</v>
      </c>
      <c r="F9" s="103">
        <f>'[1]Components 13-14'!G10/'[1]Components 13-14'!G$27</f>
        <v>2.8446389496717718E-2</v>
      </c>
      <c r="G9" s="103">
        <f>'[1]Components 13-14'!I10/'[1]Components 13-14'!I$27</f>
        <v>8.0745341614906818E-2</v>
      </c>
      <c r="H9" s="103">
        <f>'[1]Components 13-14'!K10/'[1]Components 13-14'!K$27</f>
        <v>0</v>
      </c>
      <c r="I9" s="103">
        <f>'[1]Components 13-14'!M10/'[1]Components 13-14'!M$27</f>
        <v>0</v>
      </c>
      <c r="J9" s="103">
        <f>'[1]Components 13-14'!O10/'[1]Components 13-14'!O$27</f>
        <v>0</v>
      </c>
      <c r="L9" s="100">
        <f t="shared" si="0"/>
        <v>4.3999999999999997E-2</v>
      </c>
      <c r="M9" s="100">
        <f t="shared" si="0"/>
        <v>3.6999999999999998E-2</v>
      </c>
      <c r="N9" s="100">
        <f t="shared" si="0"/>
        <v>2.8000000000000001E-2</v>
      </c>
      <c r="O9" s="100">
        <f t="shared" si="0"/>
        <v>8.1000000000000003E-2</v>
      </c>
      <c r="P9" s="100">
        <f t="shared" si="0"/>
        <v>0</v>
      </c>
      <c r="Q9" s="100">
        <f t="shared" si="0"/>
        <v>0</v>
      </c>
      <c r="R9" s="100">
        <f t="shared" si="0"/>
        <v>0</v>
      </c>
      <c r="S9" s="100">
        <f>ROUND((Components!C10/Components!C$28),3)</f>
        <v>4.5999999999999999E-2</v>
      </c>
      <c r="T9" s="100"/>
      <c r="U9" s="100">
        <f>ROUND((Components!E10/Components!E$28),3)</f>
        <v>3.7999999999999999E-2</v>
      </c>
      <c r="V9" s="100"/>
      <c r="W9" s="100">
        <f>ROUND((Components!G10/Components!G$28),3)</f>
        <v>2.7E-2</v>
      </c>
      <c r="X9" s="100"/>
      <c r="Y9" s="100">
        <f>ROUND((Components!I10/Components!I$28),3)</f>
        <v>8.5999999999999993E-2</v>
      </c>
      <c r="Z9" s="100"/>
      <c r="AA9" s="100">
        <f>ROUND((Components!K10/Components!K$28),3)</f>
        <v>0</v>
      </c>
      <c r="AB9" s="100"/>
      <c r="AC9" s="100">
        <f>ROUND((Components!M10/Components!M$28),3)</f>
        <v>0</v>
      </c>
      <c r="AD9" s="100"/>
      <c r="AE9" s="100">
        <f>ROUND((Components!O10/Components!O$28),3)</f>
        <v>0</v>
      </c>
      <c r="AH9" s="104"/>
    </row>
    <row r="10" spans="2:34" s="134" customFormat="1" x14ac:dyDescent="0.25">
      <c r="C10" s="135"/>
      <c r="D10" s="136"/>
      <c r="E10" s="136"/>
      <c r="F10" s="136"/>
      <c r="G10" s="136"/>
      <c r="H10" s="136"/>
      <c r="I10" s="136"/>
      <c r="J10" s="136"/>
      <c r="L10" s="137"/>
      <c r="M10" s="137"/>
      <c r="N10" s="137"/>
      <c r="O10" s="137"/>
      <c r="P10" s="137"/>
      <c r="Q10" s="137"/>
      <c r="R10" s="137"/>
      <c r="S10" s="137">
        <f>SUM(S6:S9)</f>
        <v>0.51700000000000002</v>
      </c>
      <c r="T10" s="137"/>
      <c r="U10" s="137">
        <f t="shared" ref="U10:AE10" si="2">SUM(U6:U9)</f>
        <v>0.42399999999999999</v>
      </c>
      <c r="V10" s="137">
        <f t="shared" si="2"/>
        <v>0</v>
      </c>
      <c r="W10" s="137">
        <f t="shared" si="2"/>
        <v>0.30800000000000005</v>
      </c>
      <c r="X10" s="137">
        <f t="shared" si="2"/>
        <v>0</v>
      </c>
      <c r="Y10" s="137">
        <f t="shared" si="2"/>
        <v>0.94499999999999995</v>
      </c>
      <c r="Z10" s="137">
        <f t="shared" si="2"/>
        <v>0</v>
      </c>
      <c r="AA10" s="137">
        <f t="shared" si="2"/>
        <v>0</v>
      </c>
      <c r="AB10" s="137">
        <f t="shared" si="2"/>
        <v>0</v>
      </c>
      <c r="AC10" s="137">
        <f t="shared" si="2"/>
        <v>0</v>
      </c>
      <c r="AD10" s="137">
        <f t="shared" si="2"/>
        <v>0</v>
      </c>
      <c r="AE10" s="137">
        <f t="shared" si="2"/>
        <v>0</v>
      </c>
      <c r="AH10" s="138"/>
    </row>
    <row r="11" spans="2:34" x14ac:dyDescent="0.25">
      <c r="B11" s="77" t="s">
        <v>135</v>
      </c>
      <c r="C11" s="105" t="s">
        <v>167</v>
      </c>
      <c r="D11" s="106"/>
      <c r="E11" s="106"/>
      <c r="F11" s="106"/>
      <c r="G11" s="106"/>
      <c r="H11" s="106"/>
      <c r="I11" s="106"/>
      <c r="J11" s="106"/>
      <c r="K11" s="77"/>
      <c r="L11" s="107"/>
      <c r="M11" s="107"/>
      <c r="N11" s="107"/>
      <c r="O11" s="107"/>
      <c r="P11" s="107"/>
      <c r="Q11" s="107"/>
      <c r="R11" s="107"/>
      <c r="S11" s="107">
        <f>ROUND((Components!C12/Components!C$28),3)</f>
        <v>0.03</v>
      </c>
      <c r="T11" s="107"/>
      <c r="U11" s="107">
        <f>ROUND((Components!E12/Components!E$28),3)</f>
        <v>3.5000000000000003E-2</v>
      </c>
      <c r="V11" s="107"/>
      <c r="W11" s="107">
        <f>ROUND((Components!G12/Components!G$28),3)</f>
        <v>4.2999999999999997E-2</v>
      </c>
      <c r="X11" s="107"/>
      <c r="Y11" s="107">
        <f>ROUND((Components!I12/Components!I$28),3)</f>
        <v>0</v>
      </c>
      <c r="Z11" s="107"/>
      <c r="AA11" s="107">
        <f>ROUND((Components!K12/Components!K$28),3)</f>
        <v>0</v>
      </c>
      <c r="AB11" s="107"/>
      <c r="AC11" s="107">
        <f>ROUND((Components!M12/Components!M$28),3)</f>
        <v>7.4999999999999997E-2</v>
      </c>
      <c r="AD11" s="107"/>
      <c r="AE11" s="107">
        <f>ROUND((Components!O12/Components!O$28),3)</f>
        <v>0</v>
      </c>
      <c r="AH11" s="104"/>
    </row>
    <row r="12" spans="2:34" x14ac:dyDescent="0.25">
      <c r="B12" s="77" t="s">
        <v>136</v>
      </c>
      <c r="C12" s="105" t="s">
        <v>168</v>
      </c>
      <c r="D12" s="106"/>
      <c r="E12" s="106"/>
      <c r="F12" s="106"/>
      <c r="G12" s="106"/>
      <c r="H12" s="106"/>
      <c r="I12" s="106"/>
      <c r="J12" s="106"/>
      <c r="K12" s="77"/>
      <c r="L12" s="107"/>
      <c r="M12" s="107"/>
      <c r="N12" s="107"/>
      <c r="O12" s="107"/>
      <c r="P12" s="107"/>
      <c r="Q12" s="107"/>
      <c r="R12" s="107"/>
      <c r="S12" s="107">
        <f>ROUND((Components!C13/Components!C$28),3)</f>
        <v>7.0000000000000001E-3</v>
      </c>
      <c r="T12" s="107"/>
      <c r="U12" s="107">
        <f>ROUND((Components!E13/Components!E$28),3)</f>
        <v>8.0000000000000002E-3</v>
      </c>
      <c r="V12" s="107"/>
      <c r="W12" s="107">
        <f>ROUND((Components!G13/Components!G$28),3)</f>
        <v>1.2E-2</v>
      </c>
      <c r="X12" s="107"/>
      <c r="Y12" s="107">
        <f>ROUND((Components!I13/Components!I$28),3)</f>
        <v>0</v>
      </c>
      <c r="Z12" s="107"/>
      <c r="AA12" s="107">
        <f>ROUND((Components!K13/Components!K$28),3)</f>
        <v>0</v>
      </c>
      <c r="AB12" s="107"/>
      <c r="AC12" s="107">
        <f>ROUND((Components!M13/Components!M$28),3)</f>
        <v>2.5000000000000001E-2</v>
      </c>
      <c r="AD12" s="107"/>
      <c r="AE12" s="107">
        <f>ROUND((Components!O13/Components!O$28),3)</f>
        <v>0</v>
      </c>
      <c r="AH12" s="104"/>
    </row>
    <row r="13" spans="2:34" x14ac:dyDescent="0.25">
      <c r="B13" s="77" t="s">
        <v>138</v>
      </c>
      <c r="C13" s="105" t="s">
        <v>170</v>
      </c>
      <c r="D13" s="106"/>
      <c r="E13" s="106"/>
      <c r="F13" s="106"/>
      <c r="G13" s="106"/>
      <c r="H13" s="106"/>
      <c r="I13" s="106"/>
      <c r="J13" s="106"/>
      <c r="K13" s="77"/>
      <c r="L13" s="107"/>
      <c r="M13" s="107"/>
      <c r="N13" s="107"/>
      <c r="O13" s="107"/>
      <c r="P13" s="107"/>
      <c r="Q13" s="107"/>
      <c r="R13" s="107"/>
      <c r="S13" s="107">
        <f>ROUND((Components!C15/Components!C$28),3)</f>
        <v>3.0000000000000001E-3</v>
      </c>
      <c r="T13" s="107"/>
      <c r="U13" s="107">
        <f>ROUND((Components!E15/Components!E$28),3)</f>
        <v>3.0000000000000001E-3</v>
      </c>
      <c r="V13" s="107"/>
      <c r="W13" s="107">
        <f>ROUND((Components!G15/Components!G$28),3)</f>
        <v>4.0000000000000001E-3</v>
      </c>
      <c r="X13" s="107"/>
      <c r="Y13" s="107">
        <f>ROUND((Components!I15/Components!I$28),3)</f>
        <v>0</v>
      </c>
      <c r="Z13" s="107"/>
      <c r="AA13" s="107">
        <f>ROUND((Components!K15/Components!K$28),3)</f>
        <v>0</v>
      </c>
      <c r="AB13" s="107"/>
      <c r="AC13" s="107">
        <f>ROUND((Components!M15/Components!M$28),3)</f>
        <v>0</v>
      </c>
      <c r="AD13" s="107"/>
      <c r="AE13" s="107">
        <f>ROUND((Components!O15/Components!O$28),3)</f>
        <v>0</v>
      </c>
      <c r="AH13" s="104"/>
    </row>
    <row r="14" spans="2:34" x14ac:dyDescent="0.25">
      <c r="B14" s="77" t="s">
        <v>134</v>
      </c>
      <c r="C14" s="105" t="s">
        <v>166</v>
      </c>
      <c r="D14" s="106">
        <f>'[1]Components 13-14'!C11/'[1]Components 13-14'!C$27</f>
        <v>0.33783783783783783</v>
      </c>
      <c r="E14" s="106">
        <f>'[1]Components 13-14'!E11/'[1]Components 13-14'!E$27</f>
        <v>0.40340909090909077</v>
      </c>
      <c r="F14" s="106">
        <f>'[1]Components 13-14'!G11/'[1]Components 13-14'!G$27</f>
        <v>0.48796498905908087</v>
      </c>
      <c r="G14" s="106">
        <f>'[1]Components 13-14'!I11/'[1]Components 13-14'!I$27</f>
        <v>1.8633540372670804E-2</v>
      </c>
      <c r="H14" s="106">
        <f>'[1]Components 13-14'!K11/'[1]Components 13-14'!K$27</f>
        <v>0</v>
      </c>
      <c r="I14" s="106">
        <f>'[1]Components 13-14'!M11/'[1]Components 13-14'!M$27</f>
        <v>0.73433789223304813</v>
      </c>
      <c r="J14" s="106">
        <f>'[1]Components 13-14'!O11/'[1]Components 13-14'!O$27</f>
        <v>2.4590163934426229E-2</v>
      </c>
      <c r="K14" s="77"/>
      <c r="L14" s="107">
        <f>ROUND(D14,3)</f>
        <v>0.33800000000000002</v>
      </c>
      <c r="M14" s="107">
        <f>ROUND(E14,3)+0.001</f>
        <v>0.40400000000000003</v>
      </c>
      <c r="N14" s="107">
        <f>ROUND(F14,3)</f>
        <v>0.48799999999999999</v>
      </c>
      <c r="O14" s="107">
        <f>ROUND(G14,3)-0.001</f>
        <v>1.7999999999999999E-2</v>
      </c>
      <c r="P14" s="107">
        <f>ROUND(H14,3)</f>
        <v>0</v>
      </c>
      <c r="Q14" s="107">
        <f>ROUND(I14,3)+0.001</f>
        <v>0.73499999999999999</v>
      </c>
      <c r="R14" s="107">
        <f>ROUND(J14,3)</f>
        <v>2.5000000000000001E-2</v>
      </c>
      <c r="S14" s="107">
        <f>ROUND((Components!C11/Components!C$28),3)</f>
        <v>0.33600000000000002</v>
      </c>
      <c r="T14" s="107"/>
      <c r="U14" s="107">
        <f>ROUND((Components!E11/Components!E$28),3)-0.001</f>
        <v>0.41</v>
      </c>
      <c r="V14" s="107"/>
      <c r="W14" s="107">
        <f>ROUND((Components!G11/Components!G$28),3)-0.001</f>
        <v>0.50700000000000001</v>
      </c>
      <c r="X14" s="107"/>
      <c r="Y14" s="107">
        <f>ROUND((Components!I11/Components!I$28),3)</f>
        <v>0</v>
      </c>
      <c r="Z14" s="107"/>
      <c r="AA14" s="107">
        <f>ROUND((Components!K11/Components!K$28),3)</f>
        <v>0</v>
      </c>
      <c r="AB14" s="107"/>
      <c r="AC14" s="107">
        <f>ROUND((Components!M11/Components!M$28),3)</f>
        <v>0.77500000000000002</v>
      </c>
      <c r="AD14" s="107"/>
      <c r="AE14" s="107">
        <f>ROUND((Components!O11/Components!O$28),3)</f>
        <v>0</v>
      </c>
      <c r="AH14" s="104"/>
    </row>
    <row r="15" spans="2:34" x14ac:dyDescent="0.25">
      <c r="B15" s="77" t="s">
        <v>137</v>
      </c>
      <c r="C15" s="105" t="s">
        <v>169</v>
      </c>
      <c r="D15" s="106"/>
      <c r="E15" s="106"/>
      <c r="F15" s="106"/>
      <c r="G15" s="106"/>
      <c r="H15" s="106"/>
      <c r="I15" s="106"/>
      <c r="J15" s="106"/>
      <c r="K15" s="77"/>
      <c r="L15" s="107"/>
      <c r="M15" s="107"/>
      <c r="N15" s="107"/>
      <c r="O15" s="107"/>
      <c r="P15" s="107"/>
      <c r="Q15" s="107"/>
      <c r="R15" s="107"/>
      <c r="S15" s="107">
        <f>ROUND((Components!C14/Components!C$28),3)</f>
        <v>3.0000000000000001E-3</v>
      </c>
      <c r="T15" s="107"/>
      <c r="U15" s="107">
        <f>ROUND((Components!E14/Components!E$28),3)</f>
        <v>3.0000000000000001E-3</v>
      </c>
      <c r="V15" s="107"/>
      <c r="W15" s="107">
        <f>ROUND((Components!G14/Components!G$28),3)</f>
        <v>4.0000000000000001E-3</v>
      </c>
      <c r="X15" s="107"/>
      <c r="Y15" s="107">
        <f>ROUND((Components!I14/Components!I$28),3)</f>
        <v>0</v>
      </c>
      <c r="Z15" s="107"/>
      <c r="AA15" s="107">
        <f>ROUND((Components!K14/Components!K$28),3)</f>
        <v>0</v>
      </c>
      <c r="AB15" s="107"/>
      <c r="AC15" s="107">
        <f>ROUND((Components!M14/Components!M$28),3)</f>
        <v>0</v>
      </c>
      <c r="AD15" s="107"/>
      <c r="AE15" s="107">
        <f>ROUND((Components!O14/Components!O$28),3)</f>
        <v>0</v>
      </c>
      <c r="AH15" s="104"/>
    </row>
    <row r="16" spans="2:34" x14ac:dyDescent="0.25">
      <c r="B16" s="77" t="s">
        <v>139</v>
      </c>
      <c r="C16" s="77"/>
      <c r="D16" s="106"/>
      <c r="E16" s="106"/>
      <c r="F16" s="106"/>
      <c r="G16" s="106"/>
      <c r="H16" s="106"/>
      <c r="I16" s="106"/>
      <c r="J16" s="106"/>
      <c r="K16" s="77"/>
      <c r="L16" s="107"/>
      <c r="M16" s="107"/>
      <c r="N16" s="107"/>
      <c r="O16" s="107"/>
      <c r="P16" s="107"/>
      <c r="Q16" s="107"/>
      <c r="R16" s="107"/>
      <c r="S16" s="107">
        <f t="shared" ref="S16:AE16" si="3">SUM(S11:S15)</f>
        <v>0.379</v>
      </c>
      <c r="T16" s="107"/>
      <c r="U16" s="107">
        <f t="shared" si="3"/>
        <v>0.45899999999999996</v>
      </c>
      <c r="V16" s="107"/>
      <c r="W16" s="107">
        <f t="shared" si="3"/>
        <v>0.57000000000000006</v>
      </c>
      <c r="X16" s="107"/>
      <c r="Y16" s="107">
        <f t="shared" si="3"/>
        <v>0</v>
      </c>
      <c r="Z16" s="107"/>
      <c r="AA16" s="107">
        <f t="shared" si="3"/>
        <v>0</v>
      </c>
      <c r="AB16" s="107"/>
      <c r="AC16" s="107">
        <f t="shared" si="3"/>
        <v>0.875</v>
      </c>
      <c r="AD16" s="107"/>
      <c r="AE16" s="107">
        <f t="shared" si="3"/>
        <v>0</v>
      </c>
      <c r="AH16" s="104"/>
    </row>
    <row r="17" spans="2:34" hidden="1" x14ac:dyDescent="0.25">
      <c r="B17" s="49" t="s">
        <v>140</v>
      </c>
      <c r="C17" s="108"/>
      <c r="D17" s="109">
        <f t="shared" ref="D17:J17" si="4">SUM(D11:D11)</f>
        <v>0</v>
      </c>
      <c r="E17" s="109">
        <f t="shared" si="4"/>
        <v>0</v>
      </c>
      <c r="F17" s="109">
        <f t="shared" si="4"/>
        <v>0</v>
      </c>
      <c r="G17" s="109">
        <f t="shared" si="4"/>
        <v>0</v>
      </c>
      <c r="H17" s="109">
        <f t="shared" si="4"/>
        <v>0</v>
      </c>
      <c r="I17" s="109">
        <f t="shared" si="4"/>
        <v>0</v>
      </c>
      <c r="J17" s="109">
        <f t="shared" si="4"/>
        <v>0</v>
      </c>
      <c r="K17" s="49"/>
      <c r="L17" s="110">
        <f t="shared" ref="L17:R17" si="5">ROUND(D17,3)</f>
        <v>0</v>
      </c>
      <c r="M17" s="110">
        <f t="shared" si="5"/>
        <v>0</v>
      </c>
      <c r="N17" s="110">
        <f t="shared" si="5"/>
        <v>0</v>
      </c>
      <c r="O17" s="110">
        <f t="shared" si="5"/>
        <v>0</v>
      </c>
      <c r="P17" s="110">
        <f t="shared" si="5"/>
        <v>0</v>
      </c>
      <c r="Q17" s="110">
        <f t="shared" si="5"/>
        <v>0</v>
      </c>
      <c r="R17" s="110">
        <f t="shared" si="5"/>
        <v>0</v>
      </c>
      <c r="S17" s="100">
        <f>ROUND((Components!C17/Components!C$28),3)+0.001</f>
        <v>0.379</v>
      </c>
      <c r="T17" s="100"/>
      <c r="U17" s="100">
        <f>ROUND((Components!E17/Components!E$28),3)</f>
        <v>0.45900000000000002</v>
      </c>
      <c r="V17" s="100"/>
      <c r="W17" s="100">
        <f>ROUND((Components!G17/Components!G$28),3)-0.001</f>
        <v>0.56999999999999995</v>
      </c>
      <c r="X17" s="100"/>
      <c r="Y17" s="100">
        <f>ROUND((Components!I17/Components!I$28),3)</f>
        <v>0</v>
      </c>
      <c r="Z17" s="100"/>
      <c r="AA17" s="100">
        <f>ROUND((Components!K17/Components!K$28),3)</f>
        <v>0</v>
      </c>
      <c r="AB17" s="100"/>
      <c r="AC17" s="100">
        <f>ROUND((Components!M17/Components!M$28),3)</f>
        <v>0.875</v>
      </c>
      <c r="AD17" s="100"/>
      <c r="AE17" s="100">
        <f>ROUND((Components!O17/Components!O$28),3)</f>
        <v>0</v>
      </c>
      <c r="AH17" s="104"/>
    </row>
    <row r="18" spans="2:34" x14ac:dyDescent="0.25">
      <c r="B18" s="49" t="s">
        <v>175</v>
      </c>
      <c r="C18" s="108" t="s">
        <v>176</v>
      </c>
      <c r="D18" s="109">
        <f>'[1]Components 13-14'!C20/'[1]Components 13-14'!C$27</f>
        <v>3.3783783783783781E-3</v>
      </c>
      <c r="E18" s="109">
        <f>'[1]Components 13-14'!E20/'[1]Components 13-14'!E$27</f>
        <v>2.8409090909090901E-3</v>
      </c>
      <c r="F18" s="109">
        <f>'[1]Components 13-14'!G20/'[1]Components 13-14'!G$27</f>
        <v>2.1881838074398244E-3</v>
      </c>
      <c r="G18" s="109">
        <f>'[1]Components 13-14'!I20/'[1]Components 13-14'!I$27</f>
        <v>6.2111801242236012E-3</v>
      </c>
      <c r="H18" s="109">
        <f>'[1]Components 13-14'!K20/'[1]Components 13-14'!K$27</f>
        <v>0</v>
      </c>
      <c r="I18" s="109">
        <f>'[1]Components 13-14'!M20/'[1]Components 13-14'!M$27</f>
        <v>0</v>
      </c>
      <c r="J18" s="109">
        <f>'[1]Components 13-14'!O20/'[1]Components 13-14'!O$27</f>
        <v>0</v>
      </c>
      <c r="K18" s="49"/>
      <c r="L18" s="110">
        <f t="shared" ref="L18:R20" si="6">ROUND(D18,3)</f>
        <v>3.0000000000000001E-3</v>
      </c>
      <c r="M18" s="110">
        <f t="shared" si="6"/>
        <v>3.0000000000000001E-3</v>
      </c>
      <c r="N18" s="110">
        <f t="shared" si="6"/>
        <v>2E-3</v>
      </c>
      <c r="O18" s="110">
        <f t="shared" si="6"/>
        <v>6.0000000000000001E-3</v>
      </c>
      <c r="P18" s="110">
        <f t="shared" si="6"/>
        <v>0</v>
      </c>
      <c r="Q18" s="110">
        <f t="shared" si="6"/>
        <v>0</v>
      </c>
      <c r="R18" s="110">
        <f t="shared" si="6"/>
        <v>0</v>
      </c>
      <c r="S18" s="100">
        <f>ROUND((Components!C21/Components!C$28),3)</f>
        <v>3.0000000000000001E-3</v>
      </c>
      <c r="T18" s="100"/>
      <c r="U18" s="100">
        <f>ROUND((Components!E21/Components!E$28),3)</f>
        <v>3.0000000000000001E-3</v>
      </c>
      <c r="V18" s="100"/>
      <c r="W18" s="100">
        <f>ROUND((Components!G21/Components!G$28),3)</f>
        <v>2E-3</v>
      </c>
      <c r="X18" s="100"/>
      <c r="Y18" s="100">
        <f>ROUND((Components!I21/Components!I$28),3)</f>
        <v>6.0000000000000001E-3</v>
      </c>
      <c r="Z18" s="100"/>
      <c r="AA18" s="100">
        <f>ROUND((Components!K21/Components!K$28),3)</f>
        <v>0</v>
      </c>
      <c r="AB18" s="100"/>
      <c r="AC18" s="100">
        <f>ROUND((Components!M21/Components!M$28),3)</f>
        <v>0</v>
      </c>
      <c r="AD18" s="100"/>
      <c r="AE18" s="100">
        <f>ROUND((Components!O21/Components!O$28),3)</f>
        <v>0</v>
      </c>
      <c r="AH18" s="104"/>
    </row>
    <row r="19" spans="2:34" x14ac:dyDescent="0.25">
      <c r="B19" s="49" t="s">
        <v>145</v>
      </c>
      <c r="C19" s="108" t="s">
        <v>177</v>
      </c>
      <c r="D19" s="109">
        <f>'[1]Components 13-14'!C21/'[1]Components 13-14'!C$27</f>
        <v>1.3513513513513513E-2</v>
      </c>
      <c r="E19" s="109">
        <f>'[1]Components 13-14'!E21/'[1]Components 13-14'!E$27</f>
        <v>1.136363636363636E-2</v>
      </c>
      <c r="F19" s="109">
        <f>'[1]Components 13-14'!G21/'[1]Components 13-14'!G$27</f>
        <v>8.7527352297592977E-3</v>
      </c>
      <c r="G19" s="109">
        <f>'[1]Components 13-14'!I21/'[1]Components 13-14'!I$27</f>
        <v>2.4844720496894405E-2</v>
      </c>
      <c r="H19" s="109">
        <f>'[1]Components 13-14'!K21/'[1]Components 13-14'!K$27</f>
        <v>0.86433413355451538</v>
      </c>
      <c r="I19" s="109">
        <f>'[1]Components 13-14'!M21/'[1]Components 13-14'!M$27</f>
        <v>0</v>
      </c>
      <c r="J19" s="109">
        <f>'[1]Components 13-14'!O21/'[1]Components 13-14'!O$27</f>
        <v>2.4590163934426229E-2</v>
      </c>
      <c r="K19" s="49"/>
      <c r="L19" s="110">
        <f t="shared" si="6"/>
        <v>1.4E-2</v>
      </c>
      <c r="M19" s="110">
        <f t="shared" si="6"/>
        <v>1.0999999999999999E-2</v>
      </c>
      <c r="N19" s="110">
        <f t="shared" si="6"/>
        <v>8.9999999999999993E-3</v>
      </c>
      <c r="O19" s="110">
        <f t="shared" si="6"/>
        <v>2.5000000000000001E-2</v>
      </c>
      <c r="P19" s="110">
        <f t="shared" si="6"/>
        <v>0.86399999999999999</v>
      </c>
      <c r="Q19" s="110">
        <f t="shared" si="6"/>
        <v>0</v>
      </c>
      <c r="R19" s="110">
        <f t="shared" si="6"/>
        <v>2.5000000000000001E-2</v>
      </c>
      <c r="S19" s="100">
        <f>ROUND((Components!C22/Components!C$28),3)</f>
        <v>1.6E-2</v>
      </c>
      <c r="T19" s="100"/>
      <c r="U19" s="100">
        <f>ROUND((Components!E22/Components!E$28),3)</f>
        <v>1.4E-2</v>
      </c>
      <c r="V19" s="100"/>
      <c r="W19" s="100">
        <f>ROUND((Components!G22/Components!G$28),3)</f>
        <v>0.01</v>
      </c>
      <c r="X19" s="100"/>
      <c r="Y19" s="100">
        <f>ROUND((Components!I22/Components!I$28),3)</f>
        <v>3.1E-2</v>
      </c>
      <c r="Z19" s="100"/>
      <c r="AA19" s="100">
        <f>ROUND((Components!K22/Components!K$28),3)</f>
        <v>0.625</v>
      </c>
      <c r="AB19" s="100"/>
      <c r="AC19" s="100">
        <f>ROUND((Components!M22/Components!M$28),3)</f>
        <v>0</v>
      </c>
      <c r="AD19" s="100"/>
      <c r="AE19" s="100">
        <f>ROUND((Components!O22/Components!O$28),3)</f>
        <v>3.1E-2</v>
      </c>
      <c r="AH19" s="104"/>
    </row>
    <row r="20" spans="2:34" x14ac:dyDescent="0.25">
      <c r="B20" s="49" t="s">
        <v>150</v>
      </c>
      <c r="C20" s="108" t="s">
        <v>185</v>
      </c>
      <c r="D20" s="109">
        <f>'[1]Components 13-14'!C26/'[1]Components 13-14'!C$27</f>
        <v>1.6891891891891889E-2</v>
      </c>
      <c r="E20" s="109">
        <f>'[1]Components 13-14'!E26/'[1]Components 13-14'!E$27</f>
        <v>1.9886363636363633E-2</v>
      </c>
      <c r="F20" s="109">
        <f>'[1]Components 13-14'!G26/'[1]Components 13-14'!G$27</f>
        <v>2.1881838074398245E-2</v>
      </c>
      <c r="G20" s="109">
        <f>'[1]Components 13-14'!I26/'[1]Components 13-14'!I$27</f>
        <v>0</v>
      </c>
      <c r="H20" s="109">
        <f>'[1]Components 13-14'!K26/'[1]Components 13-14'!K$27</f>
        <v>0</v>
      </c>
      <c r="I20" s="109">
        <f>'[1]Components 13-14'!M26/'[1]Components 13-14'!M$27</f>
        <v>3.3765931272305039E-2</v>
      </c>
      <c r="J20" s="109">
        <f>'[1]Components 13-14'!O26/'[1]Components 13-14'!O$27</f>
        <v>0</v>
      </c>
      <c r="K20" s="49"/>
      <c r="L20" s="110">
        <f t="shared" si="6"/>
        <v>1.7000000000000001E-2</v>
      </c>
      <c r="M20" s="110">
        <f t="shared" si="6"/>
        <v>0.02</v>
      </c>
      <c r="N20" s="110">
        <f t="shared" si="6"/>
        <v>2.1999999999999999E-2</v>
      </c>
      <c r="O20" s="110">
        <f t="shared" si="6"/>
        <v>0</v>
      </c>
      <c r="P20" s="110">
        <f t="shared" si="6"/>
        <v>0</v>
      </c>
      <c r="Q20" s="110">
        <f t="shared" si="6"/>
        <v>3.4000000000000002E-2</v>
      </c>
      <c r="R20" s="110">
        <f t="shared" si="6"/>
        <v>0</v>
      </c>
      <c r="S20" s="100">
        <f>ROUND((Components!C27/Components!C$28),3)</f>
        <v>1.2999999999999999E-2</v>
      </c>
      <c r="T20" s="100"/>
      <c r="U20" s="100">
        <f>ROUND((Components!E27/Components!E$28),3)</f>
        <v>1.9E-2</v>
      </c>
      <c r="V20" s="100"/>
      <c r="W20" s="100">
        <f>ROUND((Components!G27/Components!G$28),3)</f>
        <v>0.02</v>
      </c>
      <c r="X20" s="100"/>
      <c r="Y20" s="100">
        <f>ROUND((Components!I27/Components!I$28),3)</f>
        <v>0</v>
      </c>
      <c r="Z20" s="100"/>
      <c r="AA20" s="100">
        <f>ROUND((Components!K27/Components!K$28),3)</f>
        <v>0</v>
      </c>
      <c r="AB20" s="100"/>
      <c r="AC20" s="100">
        <f>ROUND((Components!M27/Components!M$28),3)</f>
        <v>2.5000000000000001E-2</v>
      </c>
      <c r="AD20" s="100"/>
      <c r="AE20" s="100">
        <f>ROUND((Components!O27/Components!O$28),3)</f>
        <v>0</v>
      </c>
      <c r="AH20" s="104"/>
    </row>
    <row r="21" spans="2:34" x14ac:dyDescent="0.25">
      <c r="B21" s="49" t="s">
        <v>149</v>
      </c>
      <c r="C21" s="108" t="s">
        <v>184</v>
      </c>
      <c r="D21" s="109"/>
      <c r="E21" s="109"/>
      <c r="F21" s="109"/>
      <c r="G21" s="109"/>
      <c r="H21" s="109"/>
      <c r="I21" s="109"/>
      <c r="J21" s="109"/>
      <c r="K21" s="49"/>
      <c r="L21" s="110"/>
      <c r="M21" s="110"/>
      <c r="N21" s="110"/>
      <c r="O21" s="110"/>
      <c r="P21" s="110"/>
      <c r="Q21" s="110"/>
      <c r="R21" s="110"/>
      <c r="S21" s="100">
        <f>ROUND((Components!C26/Components!C$28),3)</f>
        <v>2.5999999999999999E-2</v>
      </c>
      <c r="T21" s="100"/>
      <c r="U21" s="100">
        <f>ROUND((Components!E26/Components!E$28),3)</f>
        <v>3.2000000000000001E-2</v>
      </c>
      <c r="V21" s="100"/>
      <c r="W21" s="100">
        <f>ROUND((Components!G26/Components!G$28),3)</f>
        <v>3.9E-2</v>
      </c>
      <c r="X21" s="100"/>
      <c r="Y21" s="100">
        <f>ROUND((Components!I26/Components!I$28),3)</f>
        <v>0</v>
      </c>
      <c r="Z21" s="100"/>
      <c r="AA21" s="100">
        <f>ROUND((Components!K26/Components!K$28),3)</f>
        <v>0</v>
      </c>
      <c r="AB21" s="100"/>
      <c r="AC21" s="100">
        <f>ROUND((Components!M26/Components!M$28),3)</f>
        <v>0.05</v>
      </c>
      <c r="AD21" s="100"/>
      <c r="AE21" s="100">
        <f>ROUND((Components!O26/Components!O$28),3)</f>
        <v>0</v>
      </c>
      <c r="AH21" s="104"/>
    </row>
    <row r="22" spans="2:34" x14ac:dyDescent="0.25">
      <c r="B22" s="49" t="s">
        <v>142</v>
      </c>
      <c r="C22" s="108" t="s">
        <v>172</v>
      </c>
      <c r="D22" s="109">
        <f>'[1]Components 13-14'!C18/'[1]Components 13-14'!C$27</f>
        <v>1.0135135135135134E-2</v>
      </c>
      <c r="E22" s="109">
        <f>'[1]Components 13-14'!E18/'[1]Components 13-14'!E$27</f>
        <v>8.5227272727272704E-3</v>
      </c>
      <c r="F22" s="109">
        <f>'[1]Components 13-14'!G18/'[1]Components 13-14'!G$27</f>
        <v>6.5645514223194737E-3</v>
      </c>
      <c r="G22" s="109">
        <f>'[1]Components 13-14'!I18/'[1]Components 13-14'!I$27</f>
        <v>0</v>
      </c>
      <c r="H22" s="109">
        <f>'[1]Components 13-14'!K18/'[1]Components 13-14'!K$27</f>
        <v>0</v>
      </c>
      <c r="I22" s="109">
        <f>'[1]Components 13-14'!M18/'[1]Components 13-14'!M$27</f>
        <v>0</v>
      </c>
      <c r="J22" s="109">
        <f>'[1]Components 13-14'!O18/'[1]Components 13-14'!O$27</f>
        <v>0</v>
      </c>
      <c r="K22" s="49"/>
      <c r="L22" s="110">
        <f t="shared" ref="L22:R24" si="7">ROUND(D22,3)</f>
        <v>0.01</v>
      </c>
      <c r="M22" s="110">
        <f t="shared" si="7"/>
        <v>8.9999999999999993E-3</v>
      </c>
      <c r="N22" s="110">
        <f t="shared" si="7"/>
        <v>7.0000000000000001E-3</v>
      </c>
      <c r="O22" s="110">
        <f t="shared" si="7"/>
        <v>0</v>
      </c>
      <c r="P22" s="110">
        <f t="shared" si="7"/>
        <v>0</v>
      </c>
      <c r="Q22" s="110">
        <f t="shared" si="7"/>
        <v>0</v>
      </c>
      <c r="R22" s="110">
        <f t="shared" si="7"/>
        <v>0</v>
      </c>
      <c r="S22" s="100">
        <f>ROUND((Components!C19/Components!C$28),3)</f>
        <v>0.01</v>
      </c>
      <c r="T22" s="100"/>
      <c r="U22" s="100">
        <f>ROUND((Components!E19/Components!E$28),3)</f>
        <v>8.0000000000000002E-3</v>
      </c>
      <c r="V22" s="100"/>
      <c r="W22" s="100">
        <f>ROUND((Components!G19/Components!G$28),3)</f>
        <v>6.0000000000000001E-3</v>
      </c>
      <c r="X22" s="100"/>
      <c r="Y22" s="100">
        <f>ROUND((Components!I19/Components!I$28),3)</f>
        <v>0</v>
      </c>
      <c r="Z22" s="100"/>
      <c r="AA22" s="100">
        <f>ROUND((Components!K19/Components!K$28),3)</f>
        <v>0</v>
      </c>
      <c r="AB22" s="100"/>
      <c r="AC22" s="100">
        <f>ROUND((Components!M19/Components!M$28),3)</f>
        <v>0</v>
      </c>
      <c r="AD22" s="100"/>
      <c r="AE22" s="100">
        <f>ROUND((Components!O19/Components!O$28),3)</f>
        <v>0</v>
      </c>
      <c r="AH22" s="104"/>
    </row>
    <row r="23" spans="2:34" x14ac:dyDescent="0.25">
      <c r="B23" s="49" t="s">
        <v>178</v>
      </c>
      <c r="C23" s="108" t="s">
        <v>179</v>
      </c>
      <c r="D23" s="109">
        <f>'[1]Components 13-14'!C22/'[1]Components 13-14'!C$27</f>
        <v>3.3783783783783781E-3</v>
      </c>
      <c r="E23" s="109">
        <f>'[1]Components 13-14'!E22/'[1]Components 13-14'!E$27</f>
        <v>5.6818181818181802E-3</v>
      </c>
      <c r="F23" s="109">
        <f>'[1]Components 13-14'!G22/'[1]Components 13-14'!G$27</f>
        <v>4.3763676148796489E-3</v>
      </c>
      <c r="G23" s="109">
        <f>'[1]Components 13-14'!I22/'[1]Components 13-14'!I$27</f>
        <v>0</v>
      </c>
      <c r="H23" s="109">
        <f>'[1]Components 13-14'!K22/'[1]Components 13-14'!K$27</f>
        <v>0</v>
      </c>
      <c r="I23" s="109">
        <f>'[1]Components 13-14'!M22/'[1]Components 13-14'!M$27</f>
        <v>3.8649362749107796E-2</v>
      </c>
      <c r="J23" s="109">
        <f>'[1]Components 13-14'!O22/'[1]Components 13-14'!O$27</f>
        <v>0</v>
      </c>
      <c r="K23" s="49"/>
      <c r="L23" s="110">
        <f t="shared" si="7"/>
        <v>3.0000000000000001E-3</v>
      </c>
      <c r="M23" s="110">
        <f t="shared" si="7"/>
        <v>6.0000000000000001E-3</v>
      </c>
      <c r="N23" s="110">
        <f t="shared" si="7"/>
        <v>4.0000000000000001E-3</v>
      </c>
      <c r="O23" s="110">
        <f t="shared" si="7"/>
        <v>0</v>
      </c>
      <c r="P23" s="110">
        <f t="shared" si="7"/>
        <v>0</v>
      </c>
      <c r="Q23" s="110">
        <f t="shared" si="7"/>
        <v>3.9E-2</v>
      </c>
      <c r="R23" s="110">
        <f t="shared" si="7"/>
        <v>0</v>
      </c>
      <c r="S23" s="100">
        <f>ROUND((Components!C23/Components!C$28),3)</f>
        <v>3.0000000000000001E-3</v>
      </c>
      <c r="T23" s="100"/>
      <c r="U23" s="100">
        <f>ROUND((Components!E23/Components!E$28),3)</f>
        <v>3.0000000000000001E-3</v>
      </c>
      <c r="V23" s="100"/>
      <c r="W23" s="100">
        <f>ROUND((Components!G23/Components!G$28),3)</f>
        <v>4.0000000000000001E-3</v>
      </c>
      <c r="X23" s="100"/>
      <c r="Y23" s="100">
        <f>ROUND((Components!I23/Components!I$28),3)</f>
        <v>0</v>
      </c>
      <c r="Z23" s="100"/>
      <c r="AA23" s="100">
        <f>ROUND((Components!K23/Components!K$28),3)</f>
        <v>0</v>
      </c>
      <c r="AB23" s="100"/>
      <c r="AC23" s="100">
        <f>ROUND((Components!M23/Components!M$28),3)</f>
        <v>0</v>
      </c>
      <c r="AD23" s="100"/>
      <c r="AE23" s="100">
        <f>ROUND((Components!O23/Components!O$28),3)</f>
        <v>0</v>
      </c>
      <c r="AH23" s="104"/>
    </row>
    <row r="24" spans="2:34" x14ac:dyDescent="0.25">
      <c r="B24" s="49" t="s">
        <v>180</v>
      </c>
      <c r="C24" s="108" t="s">
        <v>181</v>
      </c>
      <c r="D24" s="109">
        <f>'[1]Components 13-14'!C23/'[1]Components 13-14'!C$27</f>
        <v>2.3648648648648646E-2</v>
      </c>
      <c r="E24" s="109">
        <f>'[1]Components 13-14'!E23/'[1]Components 13-14'!E$27</f>
        <v>2.8409090909090901E-2</v>
      </c>
      <c r="F24" s="109">
        <f>'[1]Components 13-14'!G23/'[1]Components 13-14'!G$27</f>
        <v>3.5010940919037191E-2</v>
      </c>
      <c r="G24" s="109">
        <f>'[1]Components 13-14'!I23/'[1]Components 13-14'!I$27</f>
        <v>0</v>
      </c>
      <c r="H24" s="109">
        <f>'[1]Components 13-14'!K23/'[1]Components 13-14'!K$27</f>
        <v>0</v>
      </c>
      <c r="I24" s="109">
        <f>'[1]Components 13-14'!M23/'[1]Components 13-14'!M$27</f>
        <v>3.8649362749107796E-2</v>
      </c>
      <c r="J24" s="109">
        <f>'[1]Components 13-14'!O23/'[1]Components 13-14'!O$27</f>
        <v>0</v>
      </c>
      <c r="K24" s="49"/>
      <c r="L24" s="110">
        <f t="shared" si="7"/>
        <v>2.4E-2</v>
      </c>
      <c r="M24" s="110">
        <f t="shared" si="7"/>
        <v>2.8000000000000001E-2</v>
      </c>
      <c r="N24" s="110">
        <f t="shared" si="7"/>
        <v>3.5000000000000003E-2</v>
      </c>
      <c r="O24" s="110">
        <f t="shared" si="7"/>
        <v>0</v>
      </c>
      <c r="P24" s="110">
        <f t="shared" si="7"/>
        <v>0</v>
      </c>
      <c r="Q24" s="110">
        <f t="shared" si="7"/>
        <v>3.9E-2</v>
      </c>
      <c r="R24" s="110">
        <f t="shared" si="7"/>
        <v>0</v>
      </c>
      <c r="S24" s="100">
        <f>ROUND((Components!C24/Components!C$28),3)</f>
        <v>0.02</v>
      </c>
      <c r="T24" s="100"/>
      <c r="U24" s="100">
        <f>ROUND((Components!E24/Components!E$28),3)</f>
        <v>2.4E-2</v>
      </c>
      <c r="V24" s="100"/>
      <c r="W24" s="100">
        <f>ROUND((Components!G24/Components!G$28),3)</f>
        <v>3.1E-2</v>
      </c>
      <c r="X24" s="100"/>
      <c r="Y24" s="100">
        <f>ROUND((Components!I24/Components!I$28),3)</f>
        <v>0</v>
      </c>
      <c r="Z24" s="100"/>
      <c r="AA24" s="100">
        <f>ROUND((Components!K24/Components!K$28),3)</f>
        <v>0</v>
      </c>
      <c r="AB24" s="100"/>
      <c r="AC24" s="100">
        <f>ROUND((Components!M24/Components!M$28),3)</f>
        <v>0.05</v>
      </c>
      <c r="AD24" s="100"/>
      <c r="AE24" s="100">
        <f>ROUND((Components!O24/Components!O$28),3)</f>
        <v>0</v>
      </c>
      <c r="AH24" s="104"/>
    </row>
    <row r="25" spans="2:34" x14ac:dyDescent="0.25">
      <c r="B25" s="49" t="s">
        <v>141</v>
      </c>
      <c r="C25" s="108" t="s">
        <v>171</v>
      </c>
      <c r="D25" s="109"/>
      <c r="E25" s="109"/>
      <c r="F25" s="109"/>
      <c r="G25" s="109"/>
      <c r="H25" s="109"/>
      <c r="I25" s="109"/>
      <c r="J25" s="109"/>
      <c r="K25" s="49"/>
      <c r="L25" s="110"/>
      <c r="M25" s="110"/>
      <c r="N25" s="110"/>
      <c r="O25" s="110"/>
      <c r="P25" s="110"/>
      <c r="Q25" s="110"/>
      <c r="R25" s="110"/>
      <c r="S25" s="100">
        <f>ROUND((Components!C18/Components!C$28),3)</f>
        <v>1.2999999999999999E-2</v>
      </c>
      <c r="T25" s="100"/>
      <c r="U25" s="100">
        <f>ROUND((Components!E18/Components!E$28),3)</f>
        <v>1.4E-2</v>
      </c>
      <c r="V25" s="100"/>
      <c r="W25" s="100">
        <f>ROUND((Components!G18/Components!G$28),3)</f>
        <v>0.01</v>
      </c>
      <c r="X25" s="100"/>
      <c r="Y25" s="100">
        <f>ROUND((Components!I18/Components!I$28),3)</f>
        <v>1.7999999999999999E-2</v>
      </c>
      <c r="Z25" s="100"/>
      <c r="AA25" s="100">
        <f>ROUND((Components!K18/Components!K$28),3)</f>
        <v>0.375</v>
      </c>
      <c r="AB25" s="100"/>
      <c r="AC25" s="100">
        <f>ROUND((Components!M18/Components!M$28),3)</f>
        <v>0</v>
      </c>
      <c r="AD25" s="100"/>
      <c r="AE25" s="100">
        <f>ROUND((Components!O18/Components!O$28),3)</f>
        <v>2.3E-2</v>
      </c>
      <c r="AH25" s="104"/>
    </row>
    <row r="26" spans="2:34" x14ac:dyDescent="0.25">
      <c r="B26" s="49" t="s">
        <v>182</v>
      </c>
      <c r="C26" s="108" t="s">
        <v>183</v>
      </c>
      <c r="D26" s="109">
        <f>'[1]Components 13-14'!C24/'[1]Components 13-14'!C$27</f>
        <v>0</v>
      </c>
      <c r="E26" s="109">
        <f>'[1]Components 13-14'!E24/'[1]Components 13-14'!E$27</f>
        <v>0</v>
      </c>
      <c r="F26" s="109">
        <f>'[1]Components 13-14'!G24/'[1]Components 13-14'!G$27</f>
        <v>0</v>
      </c>
      <c r="G26" s="109">
        <f>'[1]Components 13-14'!I24/'[1]Components 13-14'!I$27</f>
        <v>0</v>
      </c>
      <c r="H26" s="109">
        <f>'[1]Components 13-14'!K24/'[1]Components 13-14'!K$27</f>
        <v>0</v>
      </c>
      <c r="I26" s="109">
        <f>'[1]Components 13-14'!M24/'[1]Components 13-14'!M$27</f>
        <v>0</v>
      </c>
      <c r="J26" s="109">
        <f>'[1]Components 13-14'!O24/'[1]Components 13-14'!O$27</f>
        <v>0.95081967213114749</v>
      </c>
      <c r="K26" s="49"/>
      <c r="L26" s="110">
        <f t="shared" ref="L26:R26" si="8">ROUND(D26,3)</f>
        <v>0</v>
      </c>
      <c r="M26" s="110">
        <f t="shared" si="8"/>
        <v>0</v>
      </c>
      <c r="N26" s="110">
        <f t="shared" si="8"/>
        <v>0</v>
      </c>
      <c r="O26" s="110">
        <f t="shared" si="8"/>
        <v>0</v>
      </c>
      <c r="P26" s="110">
        <f t="shared" si="8"/>
        <v>0</v>
      </c>
      <c r="Q26" s="110">
        <f t="shared" si="8"/>
        <v>0</v>
      </c>
      <c r="R26" s="110">
        <f t="shared" si="8"/>
        <v>0.95099999999999996</v>
      </c>
      <c r="S26" s="100">
        <f>ROUND((Components!C25/Components!C$28),3)</f>
        <v>0</v>
      </c>
      <c r="T26" s="100"/>
      <c r="U26" s="100">
        <f>ROUND((Components!E25/Components!E$28),3)</f>
        <v>0</v>
      </c>
      <c r="V26" s="100"/>
      <c r="W26" s="100">
        <f>ROUND((Components!G25/Components!G$28),3)</f>
        <v>0</v>
      </c>
      <c r="X26" s="100"/>
      <c r="Y26" s="100">
        <f>ROUND((Components!I25/Components!I$28),3)</f>
        <v>0</v>
      </c>
      <c r="Z26" s="100"/>
      <c r="AA26" s="100">
        <f>ROUND((Components!K25/Components!K$28),3)</f>
        <v>0</v>
      </c>
      <c r="AB26" s="100"/>
      <c r="AC26" s="100">
        <f>ROUND((Components!M25/Components!M$28),3)</f>
        <v>0</v>
      </c>
      <c r="AD26" s="100"/>
      <c r="AE26" s="100">
        <f>ROUND((Components!O25/Components!O$28),3)</f>
        <v>0.94599999999999995</v>
      </c>
      <c r="AH26" s="104"/>
    </row>
    <row r="27" spans="2:34" s="134" customFormat="1" x14ac:dyDescent="0.25">
      <c r="S27" s="137">
        <f>SUM(S11:S15,S18:S26)</f>
        <v>0.4830000000000001</v>
      </c>
      <c r="U27" s="137">
        <f t="shared" ref="U27:AE27" si="9">SUM(U11:U15,U18:U26)</f>
        <v>0.57600000000000007</v>
      </c>
      <c r="V27" s="137">
        <f t="shared" si="9"/>
        <v>0</v>
      </c>
      <c r="W27" s="137">
        <f t="shared" si="9"/>
        <v>0.69200000000000017</v>
      </c>
      <c r="X27" s="137">
        <f t="shared" si="9"/>
        <v>0</v>
      </c>
      <c r="Y27" s="137">
        <f t="shared" si="9"/>
        <v>5.4999999999999993E-2</v>
      </c>
      <c r="Z27" s="137">
        <f t="shared" si="9"/>
        <v>0</v>
      </c>
      <c r="AA27" s="137">
        <f t="shared" si="9"/>
        <v>1</v>
      </c>
      <c r="AB27" s="137">
        <f t="shared" si="9"/>
        <v>0</v>
      </c>
      <c r="AC27" s="137">
        <f t="shared" si="9"/>
        <v>1</v>
      </c>
      <c r="AD27" s="137">
        <f t="shared" si="9"/>
        <v>0</v>
      </c>
      <c r="AE27" s="137">
        <f t="shared" si="9"/>
        <v>1</v>
      </c>
      <c r="AH27" s="138"/>
    </row>
    <row r="28" spans="2:34" s="134" customFormat="1" x14ac:dyDescent="0.25">
      <c r="B28" s="139" t="s">
        <v>186</v>
      </c>
      <c r="C28" s="140"/>
      <c r="D28" s="141">
        <f t="shared" ref="D28:J28" si="10">SUM(D6:D9,D17:D27)</f>
        <v>0.59797297297297292</v>
      </c>
      <c r="E28" s="141">
        <f t="shared" si="10"/>
        <v>0.51988636363636365</v>
      </c>
      <c r="F28" s="141">
        <f t="shared" si="10"/>
        <v>0.42013129102844637</v>
      </c>
      <c r="G28" s="141">
        <f t="shared" si="10"/>
        <v>0.98136645962732916</v>
      </c>
      <c r="H28" s="141">
        <f t="shared" si="10"/>
        <v>1</v>
      </c>
      <c r="I28" s="141">
        <f t="shared" si="10"/>
        <v>0.11106465677052063</v>
      </c>
      <c r="J28" s="141">
        <f t="shared" si="10"/>
        <v>0.97540983606557374</v>
      </c>
      <c r="K28" s="142"/>
      <c r="L28" s="143">
        <f t="shared" ref="L28:R28" si="11">SUM(L6:L11,L19:L27)</f>
        <v>0.59500000000000008</v>
      </c>
      <c r="M28" s="143">
        <f t="shared" si="11"/>
        <v>0.51800000000000002</v>
      </c>
      <c r="N28" s="143">
        <f t="shared" si="11"/>
        <v>0.41800000000000004</v>
      </c>
      <c r="O28" s="143">
        <f t="shared" si="11"/>
        <v>0.97599999999999998</v>
      </c>
      <c r="P28" s="143">
        <f t="shared" si="11"/>
        <v>1</v>
      </c>
      <c r="Q28" s="143">
        <f t="shared" si="11"/>
        <v>0.11200000000000002</v>
      </c>
      <c r="R28" s="143">
        <f t="shared" si="11"/>
        <v>0.97599999999999998</v>
      </c>
      <c r="S28" s="143">
        <f>SUM(S10,S27)</f>
        <v>1</v>
      </c>
      <c r="T28" s="143"/>
      <c r="U28" s="143">
        <f t="shared" ref="U28:AE28" si="12">SUM(U10,U27)</f>
        <v>1</v>
      </c>
      <c r="V28" s="143">
        <f t="shared" si="12"/>
        <v>0</v>
      </c>
      <c r="W28" s="143">
        <f t="shared" si="12"/>
        <v>1.0000000000000002</v>
      </c>
      <c r="X28" s="143">
        <f t="shared" si="12"/>
        <v>0</v>
      </c>
      <c r="Y28" s="143">
        <f t="shared" si="12"/>
        <v>1</v>
      </c>
      <c r="Z28" s="143">
        <f t="shared" si="12"/>
        <v>0</v>
      </c>
      <c r="AA28" s="143">
        <f t="shared" si="12"/>
        <v>1</v>
      </c>
      <c r="AB28" s="143">
        <f t="shared" si="12"/>
        <v>0</v>
      </c>
      <c r="AC28" s="143">
        <f t="shared" si="12"/>
        <v>1</v>
      </c>
      <c r="AD28" s="143">
        <f t="shared" si="12"/>
        <v>0</v>
      </c>
      <c r="AE28" s="143">
        <f t="shared" si="12"/>
        <v>1</v>
      </c>
      <c r="AF28" s="134" t="s">
        <v>187</v>
      </c>
    </row>
    <row r="29" spans="2:34" x14ac:dyDescent="0.25">
      <c r="B29" s="111"/>
      <c r="C29" s="108"/>
      <c r="D29" s="112"/>
      <c r="E29" s="112"/>
      <c r="F29" s="112"/>
      <c r="G29" s="112"/>
      <c r="H29" s="112"/>
      <c r="I29" s="112"/>
      <c r="J29" s="112"/>
      <c r="K29" s="49"/>
      <c r="L29" s="49"/>
      <c r="M29" s="49"/>
      <c r="N29" s="49"/>
      <c r="O29" s="49"/>
      <c r="P29" s="49"/>
      <c r="Q29" s="49" t="s">
        <v>187</v>
      </c>
      <c r="R29" s="49"/>
      <c r="S29" s="110">
        <v>1</v>
      </c>
      <c r="T29" s="110"/>
      <c r="U29" s="110">
        <v>1</v>
      </c>
      <c r="V29" s="110"/>
      <c r="W29" s="110">
        <v>1</v>
      </c>
      <c r="X29" s="110"/>
      <c r="Y29" s="110">
        <v>1</v>
      </c>
      <c r="Z29" s="110"/>
      <c r="AA29" s="110">
        <v>1</v>
      </c>
      <c r="AB29" s="110"/>
      <c r="AC29" s="110">
        <v>1</v>
      </c>
      <c r="AD29" s="110"/>
      <c r="AE29" s="110">
        <v>1</v>
      </c>
    </row>
    <row r="30" spans="2:34" x14ac:dyDescent="0.25">
      <c r="B30" s="52"/>
      <c r="C30" s="108"/>
      <c r="D30" s="113"/>
      <c r="E30" s="109"/>
      <c r="F30" s="109"/>
      <c r="G30" s="109"/>
      <c r="H30" s="109"/>
      <c r="I30" s="109"/>
      <c r="J30" s="49"/>
      <c r="K30" s="49"/>
      <c r="L30" s="49"/>
      <c r="M30" s="49"/>
      <c r="N30" s="49"/>
      <c r="O30" s="49"/>
      <c r="P30" s="49"/>
      <c r="Q30" s="49"/>
      <c r="R30" s="49"/>
      <c r="S30" s="110">
        <f t="shared" ref="S30:AE30" si="13">S29-S28</f>
        <v>0</v>
      </c>
      <c r="T30" s="110"/>
      <c r="U30" s="110">
        <f t="shared" si="13"/>
        <v>0</v>
      </c>
      <c r="V30" s="110"/>
      <c r="W30" s="110">
        <f t="shared" si="13"/>
        <v>0</v>
      </c>
      <c r="X30" s="110"/>
      <c r="Y30" s="110">
        <f t="shared" si="13"/>
        <v>0</v>
      </c>
      <c r="Z30" s="110"/>
      <c r="AA30" s="110">
        <f t="shared" si="13"/>
        <v>0</v>
      </c>
      <c r="AB30" s="110"/>
      <c r="AC30" s="110">
        <f t="shared" si="13"/>
        <v>0</v>
      </c>
      <c r="AD30" s="110"/>
      <c r="AE30" s="110">
        <f t="shared" si="13"/>
        <v>0</v>
      </c>
    </row>
    <row r="31" spans="2:34" x14ac:dyDescent="0.25">
      <c r="B31" s="150" t="s">
        <v>0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</row>
    <row r="32" spans="2:34" x14ac:dyDescent="0.25">
      <c r="B32" s="149" t="s">
        <v>301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49"/>
      <c r="T32" s="49"/>
      <c r="U32" s="49"/>
      <c r="V32" s="49"/>
      <c r="W32" s="49"/>
      <c r="X32" s="49"/>
      <c r="Y32" s="49"/>
      <c r="Z32" s="49"/>
      <c r="AA32" s="49" t="s">
        <v>154</v>
      </c>
      <c r="AB32" s="49"/>
      <c r="AC32" s="49"/>
      <c r="AD32" s="49"/>
      <c r="AE32" s="49"/>
    </row>
    <row r="33" spans="2:31" x14ac:dyDescent="0.25">
      <c r="B33" s="49" t="s">
        <v>188</v>
      </c>
      <c r="C33" s="108"/>
      <c r="D33" s="49"/>
      <c r="E33" s="49"/>
      <c r="F33" s="49"/>
      <c r="G33" s="49"/>
      <c r="H33" s="49"/>
      <c r="I33" s="49"/>
      <c r="J33" s="49"/>
      <c r="K33" s="49"/>
      <c r="L33" s="49" t="s">
        <v>156</v>
      </c>
      <c r="M33" s="49"/>
      <c r="N33" s="49"/>
      <c r="O33" s="49"/>
      <c r="P33" s="49"/>
      <c r="Q33" s="49" t="s">
        <v>157</v>
      </c>
      <c r="R33" s="4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2:31" x14ac:dyDescent="0.25">
      <c r="B34" s="49"/>
      <c r="C34" s="108"/>
      <c r="D34" s="52" t="s">
        <v>17</v>
      </c>
      <c r="E34" s="52" t="s">
        <v>19</v>
      </c>
      <c r="F34" s="52" t="s">
        <v>21</v>
      </c>
      <c r="G34" s="52" t="s">
        <v>23</v>
      </c>
      <c r="H34" s="52" t="s">
        <v>25</v>
      </c>
      <c r="I34" s="52" t="s">
        <v>27</v>
      </c>
      <c r="J34" s="52" t="s">
        <v>29</v>
      </c>
      <c r="K34" s="49"/>
      <c r="L34" s="52" t="s">
        <v>17</v>
      </c>
      <c r="M34" s="52" t="s">
        <v>19</v>
      </c>
      <c r="N34" s="52" t="s">
        <v>21</v>
      </c>
      <c r="O34" s="52" t="s">
        <v>23</v>
      </c>
      <c r="P34" s="52" t="s">
        <v>25</v>
      </c>
      <c r="Q34" s="52" t="s">
        <v>27</v>
      </c>
      <c r="R34" s="52" t="s">
        <v>29</v>
      </c>
      <c r="S34" s="110" t="s">
        <v>17</v>
      </c>
      <c r="T34" s="110"/>
      <c r="U34" s="110" t="s">
        <v>19</v>
      </c>
      <c r="V34" s="110"/>
      <c r="W34" s="110" t="s">
        <v>21</v>
      </c>
      <c r="X34" s="110"/>
      <c r="Y34" s="110" t="s">
        <v>23</v>
      </c>
      <c r="Z34" s="110"/>
      <c r="AA34" s="110" t="s">
        <v>25</v>
      </c>
      <c r="AB34" s="110"/>
      <c r="AC34" s="110" t="s">
        <v>27</v>
      </c>
      <c r="AD34" s="110"/>
      <c r="AE34" s="110" t="s">
        <v>29</v>
      </c>
    </row>
    <row r="35" spans="2:31" x14ac:dyDescent="0.25">
      <c r="B35" s="49" t="s">
        <v>78</v>
      </c>
      <c r="C35" s="49" t="s">
        <v>158</v>
      </c>
      <c r="D35" s="114" t="s">
        <v>6</v>
      </c>
      <c r="E35" s="114" t="s">
        <v>7</v>
      </c>
      <c r="F35" s="114" t="s">
        <v>159</v>
      </c>
      <c r="G35" s="114" t="s">
        <v>160</v>
      </c>
      <c r="H35" s="114" t="s">
        <v>107</v>
      </c>
      <c r="I35" s="114" t="s">
        <v>161</v>
      </c>
      <c r="J35" s="114" t="s">
        <v>162</v>
      </c>
      <c r="K35" s="49"/>
      <c r="L35" s="114" t="s">
        <v>6</v>
      </c>
      <c r="M35" s="114" t="s">
        <v>7</v>
      </c>
      <c r="N35" s="114" t="s">
        <v>159</v>
      </c>
      <c r="O35" s="114" t="s">
        <v>160</v>
      </c>
      <c r="P35" s="114" t="s">
        <v>107</v>
      </c>
      <c r="Q35" s="114" t="s">
        <v>161</v>
      </c>
      <c r="R35" s="114" t="s">
        <v>162</v>
      </c>
      <c r="S35" s="110" t="s">
        <v>6</v>
      </c>
      <c r="T35" s="110"/>
      <c r="U35" s="110" t="s">
        <v>7</v>
      </c>
      <c r="V35" s="110"/>
      <c r="W35" s="110" t="s">
        <v>159</v>
      </c>
      <c r="X35" s="110"/>
      <c r="Y35" s="110" t="s">
        <v>160</v>
      </c>
      <c r="Z35" s="110"/>
      <c r="AA35" s="110" t="s">
        <v>107</v>
      </c>
      <c r="AB35" s="110"/>
      <c r="AC35" s="110" t="s">
        <v>161</v>
      </c>
      <c r="AD35" s="110"/>
      <c r="AE35" s="110" t="s">
        <v>162</v>
      </c>
    </row>
    <row r="36" spans="2:31" x14ac:dyDescent="0.25">
      <c r="B36" s="49" t="s">
        <v>38</v>
      </c>
      <c r="C36" s="102" t="s">
        <v>163</v>
      </c>
      <c r="D36" s="109">
        <f>'[1]Components 13-14'!C39/'[1]Components 13-14'!C$58</f>
        <v>0.37735849056603765</v>
      </c>
      <c r="E36" s="109">
        <f>'[1]Components 13-14'!E39/'[1]Components 13-14'!E$58</f>
        <v>0</v>
      </c>
      <c r="F36" s="109">
        <f>'[1]Components 13-14'!G39/'[1]Components 13-14'!G$58</f>
        <v>0</v>
      </c>
      <c r="G36" s="109">
        <f>'[1]Components 13-14'!I39/'[1]Components 13-14'!I$58</f>
        <v>0.84337349397590355</v>
      </c>
      <c r="H36" s="109">
        <f>'[1]Components 13-14'!K39/'[1]Components 13-14'!K$58</f>
        <v>0</v>
      </c>
      <c r="I36" s="109">
        <f>'[1]Components 13-14'!M39/'[1]Components 13-14'!M$58</f>
        <v>0</v>
      </c>
      <c r="J36" s="109">
        <f>'[1]Components 13-14'!O39/'[1]Components 13-14'!O$58</f>
        <v>0</v>
      </c>
      <c r="K36" s="49"/>
      <c r="L36" s="110">
        <f t="shared" ref="L36:R39" si="14">ROUND(D36,3)</f>
        <v>0.377</v>
      </c>
      <c r="M36" s="110">
        <f t="shared" si="14"/>
        <v>0</v>
      </c>
      <c r="N36" s="110">
        <f t="shared" si="14"/>
        <v>0</v>
      </c>
      <c r="O36" s="110">
        <f t="shared" si="14"/>
        <v>0.84299999999999997</v>
      </c>
      <c r="P36" s="110">
        <f t="shared" si="14"/>
        <v>0</v>
      </c>
      <c r="Q36" s="110">
        <f t="shared" si="14"/>
        <v>0</v>
      </c>
      <c r="R36" s="110">
        <f t="shared" si="14"/>
        <v>0</v>
      </c>
      <c r="S36" s="100">
        <f>ROUND((Components!C40/Components!C$60),3)</f>
        <v>0.35599999999999998</v>
      </c>
      <c r="T36" s="100"/>
      <c r="U36" s="100">
        <f>ROUND((Components!E40/Components!E$60),3)</f>
        <v>0</v>
      </c>
      <c r="V36" s="100"/>
      <c r="W36" s="100">
        <f>ROUND((Components!G40/Components!G$60),3)</f>
        <v>0</v>
      </c>
      <c r="X36" s="100"/>
      <c r="Y36" s="100">
        <f>ROUND((Components!I40/Components!I$60),3)</f>
        <v>0.82799999999999996</v>
      </c>
      <c r="Z36" s="100"/>
      <c r="AA36" s="100">
        <f>ROUND((Components!K40/Components!K$60),3)</f>
        <v>0</v>
      </c>
      <c r="AB36" s="100"/>
      <c r="AC36" s="100">
        <f>ROUND((Components!M40/Components!M$60),3)</f>
        <v>0</v>
      </c>
      <c r="AD36" s="100"/>
      <c r="AE36" s="100">
        <f>ROUND((Components!O40/Components!O$60),3)</f>
        <v>0</v>
      </c>
    </row>
    <row r="37" spans="2:31" x14ac:dyDescent="0.25">
      <c r="B37" s="49" t="s">
        <v>40</v>
      </c>
      <c r="C37" s="102" t="s">
        <v>164</v>
      </c>
      <c r="D37" s="109">
        <f>'[1]Components 13-14'!C40/'[1]Components 13-14'!C$58</f>
        <v>0</v>
      </c>
      <c r="E37" s="109">
        <f>'[1]Components 13-14'!E40/'[1]Components 13-14'!E$58</f>
        <v>0.45901639344262291</v>
      </c>
      <c r="F37" s="109">
        <f>'[1]Components 13-14'!G40/'[1]Components 13-14'!G$58</f>
        <v>0.30769230769230765</v>
      </c>
      <c r="G37" s="109">
        <f>'[1]Components 13-14'!I40/'[1]Components 13-14'!I$58</f>
        <v>0</v>
      </c>
      <c r="H37" s="109">
        <f>'[1]Components 13-14'!K40/'[1]Components 13-14'!K$58</f>
        <v>9.0909090909090912E-2</v>
      </c>
      <c r="I37" s="109">
        <f>'[1]Components 13-14'!M40/'[1]Components 13-14'!M$58</f>
        <v>0</v>
      </c>
      <c r="J37" s="109">
        <f>'[1]Components 13-14'!O40/'[1]Components 13-14'!O$58</f>
        <v>0</v>
      </c>
      <c r="K37" s="49"/>
      <c r="L37" s="110">
        <f t="shared" si="14"/>
        <v>0</v>
      </c>
      <c r="M37" s="110">
        <f t="shared" si="14"/>
        <v>0.45900000000000002</v>
      </c>
      <c r="N37" s="110">
        <f t="shared" si="14"/>
        <v>0.308</v>
      </c>
      <c r="O37" s="110">
        <f t="shared" si="14"/>
        <v>0</v>
      </c>
      <c r="P37" s="110">
        <f t="shared" si="14"/>
        <v>9.0999999999999998E-2</v>
      </c>
      <c r="Q37" s="110">
        <f t="shared" si="14"/>
        <v>0</v>
      </c>
      <c r="R37" s="110">
        <f t="shared" si="14"/>
        <v>0</v>
      </c>
      <c r="S37" s="100">
        <f>ROUND((Components!C41/Components!C$60),3)</f>
        <v>0</v>
      </c>
      <c r="T37" s="110"/>
      <c r="U37" s="100">
        <f>ROUND((Components!E41/Components!E$60),3)</f>
        <v>0.40799999999999997</v>
      </c>
      <c r="V37" s="110"/>
      <c r="W37" s="100">
        <f>ROUND((Components!G41/Components!G$60),3)</f>
        <v>0.27</v>
      </c>
      <c r="X37" s="110"/>
      <c r="Y37" s="100">
        <f>ROUND((Components!I41/Components!I$60),3)</f>
        <v>0</v>
      </c>
      <c r="Z37" s="110"/>
      <c r="AA37" s="100">
        <f>ROUND((Components!K41/Components!K$60),3)</f>
        <v>0</v>
      </c>
      <c r="AB37" s="110"/>
      <c r="AC37" s="100">
        <f>ROUND((Components!M41/Components!M$60),3)</f>
        <v>0</v>
      </c>
      <c r="AD37" s="110"/>
      <c r="AE37" s="100">
        <f>ROUND((Components!O41/Components!O$60),3)</f>
        <v>0</v>
      </c>
    </row>
    <row r="38" spans="2:31" x14ac:dyDescent="0.25">
      <c r="B38" s="33" t="s">
        <v>173</v>
      </c>
      <c r="C38" s="102" t="s">
        <v>174</v>
      </c>
      <c r="D38" s="103">
        <f>'[1]Components 13-14'!C50/'[1]Components 13-14'!C$58</f>
        <v>8.0862533692722342E-3</v>
      </c>
      <c r="E38" s="103">
        <f>'[1]Components 13-14'!E50/'[1]Components 13-14'!E$58</f>
        <v>9.8360655737704909E-3</v>
      </c>
      <c r="F38" s="103">
        <f>'[1]Components 13-14'!G50/'[1]Components 13-14'!G$58</f>
        <v>6.5934065934065925E-3</v>
      </c>
      <c r="G38" s="103">
        <f>'[1]Components 13-14'!I50/'[1]Components 13-14'!I$58</f>
        <v>0</v>
      </c>
      <c r="H38" s="103">
        <f>'[1]Components 13-14'!K50/'[1]Components 13-14'!K$58</f>
        <v>0</v>
      </c>
      <c r="I38" s="103">
        <f>'[1]Components 13-14'!M50/'[1]Components 13-14'!M$58</f>
        <v>0</v>
      </c>
      <c r="J38" s="103">
        <f>'[1]Components 13-14'!O50/'[1]Components 13-14'!O$58</f>
        <v>0</v>
      </c>
      <c r="L38" s="100">
        <f t="shared" ref="L38:R38" si="15">ROUND(D38,3)</f>
        <v>8.0000000000000002E-3</v>
      </c>
      <c r="M38" s="100">
        <f t="shared" si="15"/>
        <v>0.01</v>
      </c>
      <c r="N38" s="100">
        <f t="shared" si="15"/>
        <v>7.0000000000000001E-3</v>
      </c>
      <c r="O38" s="100">
        <f t="shared" si="15"/>
        <v>0</v>
      </c>
      <c r="P38" s="100">
        <f t="shared" si="15"/>
        <v>0</v>
      </c>
      <c r="Q38" s="100">
        <f t="shared" si="15"/>
        <v>0</v>
      </c>
      <c r="R38" s="100">
        <f t="shared" si="15"/>
        <v>0</v>
      </c>
      <c r="S38" s="100">
        <f>ROUND((Components!C52/Components!C$60),3)</f>
        <v>8.0000000000000002E-3</v>
      </c>
      <c r="T38" s="100"/>
      <c r="U38" s="100">
        <f>ROUND((Components!E52/Components!E$60),3)</f>
        <v>8.9999999999999993E-3</v>
      </c>
      <c r="V38" s="100"/>
      <c r="W38" s="100">
        <f>ROUND((Components!G52/Components!G$60),3)</f>
        <v>6.0000000000000001E-3</v>
      </c>
      <c r="X38" s="100"/>
      <c r="Y38" s="100">
        <f>ROUND((Components!I52/Components!I$60),3)</f>
        <v>0</v>
      </c>
      <c r="Z38" s="100"/>
      <c r="AA38" s="100">
        <f>ROUND((Components!K52/Components!K$60),3)</f>
        <v>0</v>
      </c>
      <c r="AB38" s="100"/>
      <c r="AC38" s="100">
        <f>ROUND((Components!M52/Components!M$60),3)</f>
        <v>0</v>
      </c>
      <c r="AD38" s="100"/>
      <c r="AE38" s="100">
        <f>ROUND((Components!O52/Components!O$60),3)</f>
        <v>0</v>
      </c>
    </row>
    <row r="39" spans="2:31" x14ac:dyDescent="0.25">
      <c r="B39" s="49" t="s">
        <v>133</v>
      </c>
      <c r="C39" s="102" t="s">
        <v>165</v>
      </c>
      <c r="D39" s="109">
        <f>'[1]Components 13-14'!C41/'[1]Components 13-14'!C$58</f>
        <v>3.5040431266846347E-2</v>
      </c>
      <c r="E39" s="109">
        <f>'[1]Components 13-14'!E41/'[1]Components 13-14'!E$58</f>
        <v>4.2622950819672122E-2</v>
      </c>
      <c r="F39" s="109">
        <f>'[1]Components 13-14'!G41/'[1]Components 13-14'!G$58</f>
        <v>2.8571428571428567E-2</v>
      </c>
      <c r="G39" s="109">
        <f>'[1]Components 13-14'!I41/'[1]Components 13-14'!I$58</f>
        <v>7.8313253012048167E-2</v>
      </c>
      <c r="H39" s="109">
        <f>'[1]Components 13-14'!K41/'[1]Components 13-14'!K$58</f>
        <v>0</v>
      </c>
      <c r="I39" s="109">
        <f>'[1]Components 13-14'!M41/'[1]Components 13-14'!M$58</f>
        <v>0</v>
      </c>
      <c r="J39" s="109">
        <f>'[1]Components 13-14'!O41/'[1]Components 13-14'!O$58</f>
        <v>0</v>
      </c>
      <c r="K39" s="49"/>
      <c r="L39" s="110">
        <f t="shared" si="14"/>
        <v>3.5000000000000003E-2</v>
      </c>
      <c r="M39" s="110">
        <f t="shared" si="14"/>
        <v>4.2999999999999997E-2</v>
      </c>
      <c r="N39" s="110">
        <f t="shared" si="14"/>
        <v>2.9000000000000001E-2</v>
      </c>
      <c r="O39" s="110">
        <f t="shared" si="14"/>
        <v>7.8E-2</v>
      </c>
      <c r="P39" s="110">
        <f t="shared" si="14"/>
        <v>0</v>
      </c>
      <c r="Q39" s="110">
        <f t="shared" si="14"/>
        <v>0</v>
      </c>
      <c r="R39" s="110">
        <f t="shared" si="14"/>
        <v>0</v>
      </c>
      <c r="S39" s="100">
        <f>ROUND((Components!C42/Components!C$60),3)</f>
        <v>3.5999999999999997E-2</v>
      </c>
      <c r="T39" s="110"/>
      <c r="U39" s="100">
        <f>ROUND((Components!E42/Components!E$60),3)</f>
        <v>4.1000000000000002E-2</v>
      </c>
      <c r="V39" s="110"/>
      <c r="W39" s="100">
        <f>ROUND((Components!G42/Components!G$60),3)</f>
        <v>2.7E-2</v>
      </c>
      <c r="X39" s="110"/>
      <c r="Y39" s="100">
        <f>ROUND((Components!I42/Components!I$60),3)</f>
        <v>8.3000000000000004E-2</v>
      </c>
      <c r="Z39" s="110"/>
      <c r="AA39" s="100">
        <f>ROUND((Components!K42/Components!K$60),3)</f>
        <v>0</v>
      </c>
      <c r="AB39" s="110"/>
      <c r="AC39" s="100">
        <f>ROUND((Components!M42/Components!M$60),3)</f>
        <v>0</v>
      </c>
      <c r="AD39" s="110"/>
      <c r="AE39" s="100">
        <f>ROUND((Components!O42/Components!O$60),3)</f>
        <v>0</v>
      </c>
    </row>
    <row r="40" spans="2:31" s="134" customFormat="1" x14ac:dyDescent="0.25">
      <c r="B40" s="142"/>
      <c r="C40" s="135"/>
      <c r="D40" s="144"/>
      <c r="E40" s="144"/>
      <c r="F40" s="144"/>
      <c r="G40" s="144"/>
      <c r="H40" s="144"/>
      <c r="I40" s="144"/>
      <c r="J40" s="144"/>
      <c r="K40" s="142"/>
      <c r="L40" s="143"/>
      <c r="M40" s="143"/>
      <c r="N40" s="143"/>
      <c r="O40" s="143"/>
      <c r="P40" s="143"/>
      <c r="Q40" s="143"/>
      <c r="R40" s="143"/>
      <c r="S40" s="137">
        <f>SUM(S36:S39)</f>
        <v>0.39999999999999997</v>
      </c>
      <c r="T40" s="143"/>
      <c r="U40" s="137">
        <f t="shared" ref="U40:AE40" si="16">SUM(U36:U39)</f>
        <v>0.45799999999999996</v>
      </c>
      <c r="V40" s="137">
        <f t="shared" si="16"/>
        <v>0</v>
      </c>
      <c r="W40" s="137">
        <f t="shared" si="16"/>
        <v>0.30300000000000005</v>
      </c>
      <c r="X40" s="137">
        <f t="shared" si="16"/>
        <v>0</v>
      </c>
      <c r="Y40" s="137">
        <f t="shared" si="16"/>
        <v>0.91099999999999992</v>
      </c>
      <c r="Z40" s="137">
        <f t="shared" si="16"/>
        <v>0</v>
      </c>
      <c r="AA40" s="137">
        <f t="shared" si="16"/>
        <v>0</v>
      </c>
      <c r="AB40" s="137">
        <f t="shared" si="16"/>
        <v>0</v>
      </c>
      <c r="AC40" s="137">
        <f t="shared" si="16"/>
        <v>0</v>
      </c>
      <c r="AD40" s="137">
        <f t="shared" si="16"/>
        <v>0</v>
      </c>
      <c r="AE40" s="137">
        <f t="shared" si="16"/>
        <v>0</v>
      </c>
    </row>
    <row r="41" spans="2:31" x14ac:dyDescent="0.25">
      <c r="B41" s="77" t="s">
        <v>135</v>
      </c>
      <c r="C41" s="105" t="s">
        <v>167</v>
      </c>
      <c r="D41" s="106"/>
      <c r="E41" s="106"/>
      <c r="F41" s="106"/>
      <c r="G41" s="106"/>
      <c r="H41" s="106"/>
      <c r="I41" s="106"/>
      <c r="J41" s="106"/>
      <c r="K41" s="77"/>
      <c r="L41" s="107"/>
      <c r="M41" s="107"/>
      <c r="N41" s="107"/>
      <c r="O41" s="107"/>
      <c r="P41" s="107"/>
      <c r="Q41" s="107"/>
      <c r="R41" s="107"/>
      <c r="S41" s="107">
        <f>ROUND((Components!C44/Components!C$60),3)</f>
        <v>3.5999999999999997E-2</v>
      </c>
      <c r="T41" s="107"/>
      <c r="U41" s="107">
        <f>ROUND((Components!E44/Components!E$60),3)</f>
        <v>3.2000000000000001E-2</v>
      </c>
      <c r="V41" s="107"/>
      <c r="W41" s="107">
        <f>ROUND((Components!G44/Components!G$60),3)</f>
        <v>4.2000000000000003E-2</v>
      </c>
      <c r="X41" s="107"/>
      <c r="Y41" s="107">
        <f>ROUND((Components!I44/Components!I$60),3)</f>
        <v>0</v>
      </c>
      <c r="Z41" s="107"/>
      <c r="AA41" s="107">
        <f>ROUND((Components!K44/Components!K$60),3)</f>
        <v>0</v>
      </c>
      <c r="AB41" s="107"/>
      <c r="AC41" s="107">
        <f>ROUND((Components!M44/Components!M$60),3)</f>
        <v>7.4999999999999997E-2</v>
      </c>
      <c r="AD41" s="107"/>
      <c r="AE41" s="107">
        <f>ROUND((Components!O44/Components!O$60),3)</f>
        <v>0</v>
      </c>
    </row>
    <row r="42" spans="2:31" x14ac:dyDescent="0.25">
      <c r="B42" s="77" t="s">
        <v>136</v>
      </c>
      <c r="C42" s="105" t="s">
        <v>168</v>
      </c>
      <c r="D42" s="106"/>
      <c r="E42" s="106"/>
      <c r="F42" s="106"/>
      <c r="G42" s="106"/>
      <c r="H42" s="106"/>
      <c r="I42" s="106"/>
      <c r="J42" s="106"/>
      <c r="K42" s="77"/>
      <c r="L42" s="107"/>
      <c r="M42" s="107"/>
      <c r="N42" s="107"/>
      <c r="O42" s="107"/>
      <c r="P42" s="107"/>
      <c r="Q42" s="107"/>
      <c r="R42" s="107"/>
      <c r="S42" s="107">
        <f>ROUND((Components!C45/Components!C$60),3)</f>
        <v>0.01</v>
      </c>
      <c r="T42" s="107"/>
      <c r="U42" s="107">
        <f>ROUND((Components!E45/Components!E$60),3)</f>
        <v>8.9999999999999993E-3</v>
      </c>
      <c r="V42" s="107"/>
      <c r="W42" s="107">
        <f>ROUND((Components!G45/Components!G$60),3)</f>
        <v>1.2E-2</v>
      </c>
      <c r="X42" s="107"/>
      <c r="Y42" s="107">
        <f>ROUND((Components!I45/Components!I$60),3)</f>
        <v>0</v>
      </c>
      <c r="Z42" s="107"/>
      <c r="AA42" s="107">
        <f>ROUND((Components!K45/Components!K$60),3)</f>
        <v>0</v>
      </c>
      <c r="AB42" s="107"/>
      <c r="AC42" s="107">
        <f>ROUND((Components!M45/Components!M$60),3)</f>
        <v>2.5000000000000001E-2</v>
      </c>
      <c r="AD42" s="107"/>
      <c r="AE42" s="107">
        <f>ROUND((Components!O45/Components!O$60),3)</f>
        <v>0</v>
      </c>
    </row>
    <row r="43" spans="2:31" x14ac:dyDescent="0.25">
      <c r="B43" s="77" t="s">
        <v>138</v>
      </c>
      <c r="C43" s="105" t="s">
        <v>170</v>
      </c>
      <c r="D43" s="106"/>
      <c r="E43" s="106"/>
      <c r="F43" s="106"/>
      <c r="G43" s="106"/>
      <c r="H43" s="106"/>
      <c r="I43" s="106"/>
      <c r="J43" s="106"/>
      <c r="K43" s="77"/>
      <c r="L43" s="107"/>
      <c r="M43" s="107"/>
      <c r="N43" s="107"/>
      <c r="O43" s="107"/>
      <c r="P43" s="107"/>
      <c r="Q43" s="107"/>
      <c r="R43" s="107"/>
      <c r="S43" s="107">
        <f>ROUND((Components!C47/Components!C$60),3)</f>
        <v>3.0000000000000001E-3</v>
      </c>
      <c r="T43" s="107"/>
      <c r="U43" s="107">
        <f>ROUND((Components!E47/Components!E$60),3)</f>
        <v>3.0000000000000001E-3</v>
      </c>
      <c r="V43" s="107"/>
      <c r="W43" s="107">
        <f>ROUND((Components!G47/Components!G$60),3)</f>
        <v>4.0000000000000001E-3</v>
      </c>
      <c r="X43" s="107"/>
      <c r="Y43" s="107">
        <f>ROUND((Components!I47/Components!I$60),3)</f>
        <v>0</v>
      </c>
      <c r="Z43" s="107"/>
      <c r="AA43" s="107">
        <f>ROUND((Components!K47/Components!K$60),3)</f>
        <v>0</v>
      </c>
      <c r="AB43" s="107"/>
      <c r="AC43" s="107">
        <f>ROUND((Components!M47/Components!M$60),3)</f>
        <v>0</v>
      </c>
      <c r="AD43" s="107"/>
      <c r="AE43" s="107">
        <f>ROUND((Components!O47/Components!O$60),3)</f>
        <v>0</v>
      </c>
    </row>
    <row r="44" spans="2:31" x14ac:dyDescent="0.25">
      <c r="B44" s="77" t="s">
        <v>134</v>
      </c>
      <c r="C44" s="105" t="s">
        <v>166</v>
      </c>
      <c r="D44" s="106">
        <f>'[1]Components 13-14'!C42/'[1]Components 13-14'!C$58</f>
        <v>0.41239892183288396</v>
      </c>
      <c r="E44" s="106">
        <f>'[1]Components 13-14'!E42/'[1]Components 13-14'!E$58</f>
        <v>0.34098360655737697</v>
      </c>
      <c r="F44" s="106">
        <f>'[1]Components 13-14'!G42/'[1]Components 13-14'!G$58</f>
        <v>0.48131868131868122</v>
      </c>
      <c r="G44" s="106">
        <f>'[1]Components 13-14'!I42/'[1]Components 13-14'!I$58</f>
        <v>1.2048192771084335E-2</v>
      </c>
      <c r="H44" s="106">
        <f>'[1]Components 13-14'!K42/'[1]Components 13-14'!K$58</f>
        <v>0</v>
      </c>
      <c r="I44" s="106">
        <f>'[1]Components 13-14'!M42/'[1]Components 13-14'!M$58</f>
        <v>0.73433789223304813</v>
      </c>
      <c r="J44" s="106">
        <f>'[1]Components 13-14'!O42/'[1]Components 13-14'!O$58</f>
        <v>1.6393442622950821E-2</v>
      </c>
      <c r="K44" s="77"/>
      <c r="L44" s="107">
        <f>ROUND(D44,3)+0.001</f>
        <v>0.41299999999999998</v>
      </c>
      <c r="M44" s="107">
        <f>ROUND(E44,3)-0.002</f>
        <v>0.33900000000000002</v>
      </c>
      <c r="N44" s="107">
        <f>ROUND(F44,3)+0.002</f>
        <v>0.48299999999999998</v>
      </c>
      <c r="O44" s="107">
        <f>ROUND(G44,3)</f>
        <v>1.2E-2</v>
      </c>
      <c r="P44" s="107">
        <f>ROUND(H44,3)</f>
        <v>0</v>
      </c>
      <c r="Q44" s="107">
        <f>ROUND(I44,3)+0.002</f>
        <v>0.73599999999999999</v>
      </c>
      <c r="R44" s="107">
        <f>ROUND(J44,3)</f>
        <v>1.6E-2</v>
      </c>
      <c r="S44" s="107">
        <f>ROUND((Components!C43/Components!C$60),3)-0.002</f>
        <v>0.42299999999999999</v>
      </c>
      <c r="T44" s="107"/>
      <c r="U44" s="107">
        <f>ROUND((Components!E43/Components!E$60),3)-0.001</f>
        <v>0.372</v>
      </c>
      <c r="V44" s="107"/>
      <c r="W44" s="107">
        <f>ROUND((Components!G43/Components!G$60),3)-0.001</f>
        <v>0.503</v>
      </c>
      <c r="X44" s="107"/>
      <c r="Y44" s="107">
        <f>ROUND((Components!I43/Components!I$60),3)</f>
        <v>0</v>
      </c>
      <c r="Z44" s="107"/>
      <c r="AA44" s="107">
        <f>ROUND((Components!K43/Components!K$60),3)</f>
        <v>0</v>
      </c>
      <c r="AB44" s="107"/>
      <c r="AC44" s="107">
        <f>ROUND((Components!M43/Components!M$60),3)</f>
        <v>0.77500000000000002</v>
      </c>
      <c r="AD44" s="107"/>
      <c r="AE44" s="107">
        <f>ROUND((Components!O43/Components!O$60),3)</f>
        <v>0</v>
      </c>
    </row>
    <row r="45" spans="2:31" x14ac:dyDescent="0.25">
      <c r="B45" s="77" t="s">
        <v>137</v>
      </c>
      <c r="C45" s="105" t="s">
        <v>169</v>
      </c>
      <c r="D45" s="106"/>
      <c r="E45" s="106"/>
      <c r="F45" s="106"/>
      <c r="G45" s="106"/>
      <c r="H45" s="106"/>
      <c r="I45" s="106"/>
      <c r="J45" s="106"/>
      <c r="K45" s="77"/>
      <c r="L45" s="107"/>
      <c r="M45" s="107"/>
      <c r="N45" s="107"/>
      <c r="O45" s="107"/>
      <c r="P45" s="107"/>
      <c r="Q45" s="107"/>
      <c r="R45" s="107"/>
      <c r="S45" s="107">
        <f>ROUND((Components!C46/Components!C$60),3)</f>
        <v>3.0000000000000001E-3</v>
      </c>
      <c r="T45" s="107"/>
      <c r="U45" s="107">
        <f>ROUND((Components!E46/Components!E$60),3)</f>
        <v>3.0000000000000001E-3</v>
      </c>
      <c r="V45" s="107"/>
      <c r="W45" s="107">
        <f>ROUND((Components!G46/Components!G$60),3)</f>
        <v>4.0000000000000001E-3</v>
      </c>
      <c r="X45" s="107"/>
      <c r="Y45" s="107">
        <f>ROUND((Components!I46/Components!I$60),3)</f>
        <v>0</v>
      </c>
      <c r="Z45" s="107"/>
      <c r="AA45" s="107">
        <f>ROUND((Components!K46/Components!K$60),3)</f>
        <v>0</v>
      </c>
      <c r="AB45" s="107"/>
      <c r="AC45" s="107">
        <f>ROUND((Components!M46/Components!M$60),3)</f>
        <v>0</v>
      </c>
      <c r="AD45" s="107"/>
      <c r="AE45" s="107">
        <f>ROUND((Components!O46/Components!O$60),3)</f>
        <v>0</v>
      </c>
    </row>
    <row r="46" spans="2:31" x14ac:dyDescent="0.25">
      <c r="B46" s="77" t="s">
        <v>139</v>
      </c>
      <c r="C46" s="77"/>
      <c r="D46" s="106"/>
      <c r="E46" s="106"/>
      <c r="F46" s="106"/>
      <c r="G46" s="106"/>
      <c r="H46" s="106"/>
      <c r="I46" s="106"/>
      <c r="J46" s="106"/>
      <c r="K46" s="77"/>
      <c r="L46" s="107"/>
      <c r="M46" s="107"/>
      <c r="N46" s="107"/>
      <c r="O46" s="107"/>
      <c r="P46" s="107"/>
      <c r="Q46" s="107"/>
      <c r="R46" s="107"/>
      <c r="S46" s="107">
        <f>SUM(S41:S45)</f>
        <v>0.47499999999999998</v>
      </c>
      <c r="T46" s="107"/>
      <c r="U46" s="107">
        <f>SUM(U41:U45)</f>
        <v>0.41899999999999998</v>
      </c>
      <c r="V46" s="107"/>
      <c r="W46" s="107">
        <f>SUM(W41:W45)</f>
        <v>0.56500000000000006</v>
      </c>
      <c r="X46" s="107"/>
      <c r="Y46" s="107">
        <f>SUM(Y41:Y45)</f>
        <v>0</v>
      </c>
      <c r="Z46" s="107"/>
      <c r="AA46" s="107">
        <f>SUM(AA41:AA45)</f>
        <v>0</v>
      </c>
      <c r="AB46" s="107"/>
      <c r="AC46" s="107">
        <f>AC16</f>
        <v>0.875</v>
      </c>
      <c r="AD46" s="107"/>
      <c r="AE46" s="107">
        <f>SUM(AE41:AE45)</f>
        <v>0</v>
      </c>
    </row>
    <row r="47" spans="2:31" hidden="1" x14ac:dyDescent="0.25">
      <c r="B47" s="49" t="s">
        <v>140</v>
      </c>
      <c r="C47" s="108"/>
      <c r="D47" s="109">
        <f t="shared" ref="D47:J47" si="17">SUM(D41:D41)</f>
        <v>0</v>
      </c>
      <c r="E47" s="109">
        <f t="shared" si="17"/>
        <v>0</v>
      </c>
      <c r="F47" s="109">
        <f t="shared" si="17"/>
        <v>0</v>
      </c>
      <c r="G47" s="109">
        <f t="shared" si="17"/>
        <v>0</v>
      </c>
      <c r="H47" s="109">
        <f t="shared" si="17"/>
        <v>0</v>
      </c>
      <c r="I47" s="109">
        <f t="shared" si="17"/>
        <v>0</v>
      </c>
      <c r="J47" s="109">
        <f t="shared" si="17"/>
        <v>0</v>
      </c>
      <c r="K47" s="49"/>
      <c r="L47" s="110">
        <f t="shared" ref="L47:R47" si="18">ROUND(D47,3)</f>
        <v>0</v>
      </c>
      <c r="M47" s="110">
        <f t="shared" si="18"/>
        <v>0</v>
      </c>
      <c r="N47" s="110">
        <f t="shared" si="18"/>
        <v>0</v>
      </c>
      <c r="O47" s="110">
        <f t="shared" si="18"/>
        <v>0</v>
      </c>
      <c r="P47" s="110">
        <f t="shared" si="18"/>
        <v>0</v>
      </c>
      <c r="Q47" s="110">
        <f t="shared" si="18"/>
        <v>0</v>
      </c>
      <c r="R47" s="110">
        <f t="shared" si="18"/>
        <v>0</v>
      </c>
      <c r="S47" s="100">
        <f>ROUND((Components!C49/Components!C$60),3)-0.001</f>
        <v>0.47499999999999998</v>
      </c>
      <c r="T47" s="110"/>
      <c r="U47" s="100">
        <f>ROUND((Components!E49/Components!E$60),3)-0.001</f>
        <v>0.41899999999999998</v>
      </c>
      <c r="V47" s="110"/>
      <c r="W47" s="100">
        <f>ROUND((Components!G49/Components!G$60),3)+0.001</f>
        <v>0.56599999999999995</v>
      </c>
      <c r="X47" s="110"/>
      <c r="Y47" s="100">
        <f>ROUND((Components!I49/Components!I$60),3)</f>
        <v>0</v>
      </c>
      <c r="Z47" s="110"/>
      <c r="AA47" s="100">
        <f>ROUND((Components!K49/Components!K$60),3)</f>
        <v>0</v>
      </c>
      <c r="AB47" s="110"/>
      <c r="AC47" s="100">
        <f>ROUND((Components!M49/Components!M$60),3)</f>
        <v>0.875</v>
      </c>
      <c r="AD47" s="110"/>
      <c r="AE47" s="100">
        <f>ROUND((Components!O49/Components!O$60),3)</f>
        <v>0</v>
      </c>
    </row>
    <row r="48" spans="2:31" x14ac:dyDescent="0.25">
      <c r="B48" s="33" t="s">
        <v>175</v>
      </c>
      <c r="C48" s="108" t="s">
        <v>176</v>
      </c>
      <c r="D48" s="103">
        <f>'[1]Components 13-14'!C51/'[1]Components 13-14'!C$58</f>
        <v>2.6954177897574117E-3</v>
      </c>
      <c r="E48" s="103">
        <f>'[1]Components 13-14'!E51/'[1]Components 13-14'!E$58</f>
        <v>3.2786885245901635E-3</v>
      </c>
      <c r="F48" s="103">
        <f>'[1]Components 13-14'!G51/'[1]Components 13-14'!G$58</f>
        <v>2.1978021978021974E-3</v>
      </c>
      <c r="G48" s="103">
        <f>'[1]Components 13-14'!I51/'[1]Components 13-14'!I$58</f>
        <v>6.0240963855421673E-3</v>
      </c>
      <c r="H48" s="103">
        <f>'[1]Components 13-14'!K51/'[1]Components 13-14'!K$58</f>
        <v>0</v>
      </c>
      <c r="I48" s="103">
        <f>'[1]Components 13-14'!M51/'[1]Components 13-14'!M$58</f>
        <v>0</v>
      </c>
      <c r="J48" s="103">
        <f>'[1]Components 13-14'!O51/'[1]Components 13-14'!O$58</f>
        <v>0</v>
      </c>
      <c r="L48" s="100">
        <f t="shared" ref="L48:R50" si="19">ROUND(D48,3)</f>
        <v>3.0000000000000001E-3</v>
      </c>
      <c r="M48" s="100">
        <f t="shared" si="19"/>
        <v>3.0000000000000001E-3</v>
      </c>
      <c r="N48" s="100">
        <f t="shared" si="19"/>
        <v>2E-3</v>
      </c>
      <c r="O48" s="100">
        <f t="shared" si="19"/>
        <v>6.0000000000000001E-3</v>
      </c>
      <c r="P48" s="100">
        <f t="shared" si="19"/>
        <v>0</v>
      </c>
      <c r="Q48" s="100">
        <f t="shared" si="19"/>
        <v>0</v>
      </c>
      <c r="R48" s="100">
        <f t="shared" si="19"/>
        <v>0</v>
      </c>
      <c r="S48" s="100">
        <f>ROUND((Components!C53/Components!C$60),3)</f>
        <v>3.0000000000000001E-3</v>
      </c>
      <c r="T48" s="100"/>
      <c r="U48" s="100">
        <f>ROUND((Components!E53/Components!E$60),3)</f>
        <v>3.0000000000000001E-3</v>
      </c>
      <c r="V48" s="100"/>
      <c r="W48" s="100">
        <f>ROUND((Components!G53/Components!G$60),3)</f>
        <v>2E-3</v>
      </c>
      <c r="X48" s="100"/>
      <c r="Y48" s="100">
        <f>ROUND((Components!I53/Components!I$60),3)</f>
        <v>6.0000000000000001E-3</v>
      </c>
      <c r="Z48" s="100"/>
      <c r="AA48" s="100">
        <f>ROUND((Components!K53/Components!K$60),3)</f>
        <v>0</v>
      </c>
      <c r="AB48" s="100"/>
      <c r="AC48" s="100">
        <f>ROUND((Components!M53/Components!M$60),3)</f>
        <v>0</v>
      </c>
      <c r="AD48" s="100"/>
      <c r="AE48" s="100">
        <f>ROUND((Components!O53/Components!O$60),3)</f>
        <v>0</v>
      </c>
    </row>
    <row r="49" spans="2:32" x14ac:dyDescent="0.25">
      <c r="B49" s="33" t="s">
        <v>145</v>
      </c>
      <c r="C49" s="108" t="s">
        <v>177</v>
      </c>
      <c r="D49" s="103">
        <f>'[1]Components 13-14'!C52/'[1]Components 13-14'!C$58</f>
        <v>2.4258760107816704E-2</v>
      </c>
      <c r="E49" s="103">
        <f>'[1]Components 13-14'!E52/'[1]Components 13-14'!E$58</f>
        <v>2.9508196721311469E-2</v>
      </c>
      <c r="F49" s="103">
        <f>'[1]Components 13-14'!G52/'[1]Components 13-14'!G$58</f>
        <v>1.9780219780219776E-2</v>
      </c>
      <c r="G49" s="103">
        <f>'[1]Components 13-14'!I52/'[1]Components 13-14'!I$58</f>
        <v>6.0240963855421666E-2</v>
      </c>
      <c r="H49" s="103">
        <f>'[1]Components 13-14'!K52/'[1]Components 13-14'!K$58</f>
        <v>0.90909090909090895</v>
      </c>
      <c r="I49" s="103">
        <f>'[1]Components 13-14'!M52/'[1]Components 13-14'!M$58</f>
        <v>0</v>
      </c>
      <c r="J49" s="103">
        <f>'[1]Components 13-14'!O52/'[1]Components 13-14'!O$58</f>
        <v>7.3770491803278687E-2</v>
      </c>
      <c r="L49" s="100">
        <f t="shared" si="19"/>
        <v>2.4E-2</v>
      </c>
      <c r="M49" s="100">
        <f t="shared" si="19"/>
        <v>0.03</v>
      </c>
      <c r="N49" s="100">
        <f t="shared" si="19"/>
        <v>0.02</v>
      </c>
      <c r="O49" s="100">
        <f t="shared" si="19"/>
        <v>0.06</v>
      </c>
      <c r="P49" s="100">
        <f t="shared" si="19"/>
        <v>0.90900000000000003</v>
      </c>
      <c r="Q49" s="100">
        <f t="shared" si="19"/>
        <v>0</v>
      </c>
      <c r="R49" s="100">
        <f t="shared" si="19"/>
        <v>7.3999999999999996E-2</v>
      </c>
      <c r="S49" s="100">
        <f>ROUND((Components!C54/Components!C$60),3)</f>
        <v>2.5000000000000001E-2</v>
      </c>
      <c r="T49" s="100"/>
      <c r="U49" s="100">
        <f>ROUND((Components!E54/Components!E$60),3)</f>
        <v>2.9000000000000001E-2</v>
      </c>
      <c r="V49" s="100"/>
      <c r="W49" s="100">
        <f>ROUND((Components!G54/Components!G$60),3)</f>
        <v>1.9E-2</v>
      </c>
      <c r="X49" s="100"/>
      <c r="Y49" s="100">
        <f>ROUND((Components!I54/Components!I$60),3)</f>
        <v>6.5000000000000002E-2</v>
      </c>
      <c r="Z49" s="100"/>
      <c r="AA49" s="100">
        <f>ROUND((Components!K54/Components!K$60),3)</f>
        <v>0.76900000000000002</v>
      </c>
      <c r="AB49" s="100"/>
      <c r="AC49" s="100">
        <f>ROUND((Components!M54/Components!M$60),3)</f>
        <v>0</v>
      </c>
      <c r="AD49" s="100"/>
      <c r="AE49" s="100">
        <f>ROUND((Components!O54/Components!O$60),3)</f>
        <v>8.4000000000000005E-2</v>
      </c>
    </row>
    <row r="50" spans="2:32" x14ac:dyDescent="0.25">
      <c r="B50" s="49" t="s">
        <v>150</v>
      </c>
      <c r="C50" s="108" t="s">
        <v>185</v>
      </c>
      <c r="D50" s="103">
        <f>'[1]Components 13-14'!C57/'[1]Components 13-14'!C$58</f>
        <v>1.8867924528301883E-2</v>
      </c>
      <c r="E50" s="103">
        <f>'[1]Components 13-14'!E57/'[1]Components 13-14'!E$58</f>
        <v>1.3114754098360654E-2</v>
      </c>
      <c r="F50" s="103">
        <f>'[1]Components 13-14'!G57/'[1]Components 13-14'!G$58</f>
        <v>1.9780219780219776E-2</v>
      </c>
      <c r="G50" s="103">
        <f>'[1]Components 13-14'!I57/'[1]Components 13-14'!I$58</f>
        <v>0</v>
      </c>
      <c r="H50" s="103">
        <f>'[1]Components 13-14'!K57/'[1]Components 13-14'!K$58</f>
        <v>0</v>
      </c>
      <c r="I50" s="103">
        <f>'[1]Components 13-14'!M57/'[1]Components 13-14'!M$58</f>
        <v>3.3765931272305039E-2</v>
      </c>
      <c r="J50" s="103">
        <f>'[1]Components 13-14'!O57/'[1]Components 13-14'!O$58</f>
        <v>0</v>
      </c>
      <c r="L50" s="100">
        <f t="shared" si="19"/>
        <v>1.9E-2</v>
      </c>
      <c r="M50" s="100">
        <f t="shared" si="19"/>
        <v>1.2999999999999999E-2</v>
      </c>
      <c r="N50" s="100">
        <f t="shared" si="19"/>
        <v>0.02</v>
      </c>
      <c r="O50" s="100">
        <f t="shared" si="19"/>
        <v>0</v>
      </c>
      <c r="P50" s="100">
        <f t="shared" si="19"/>
        <v>0</v>
      </c>
      <c r="Q50" s="100">
        <f t="shared" si="19"/>
        <v>3.4000000000000002E-2</v>
      </c>
      <c r="R50" s="100">
        <f t="shared" si="19"/>
        <v>0</v>
      </c>
      <c r="S50" s="100">
        <f>ROUND((Components!C59/Components!C$60),3)</f>
        <v>1.4999999999999999E-2</v>
      </c>
      <c r="T50" s="100"/>
      <c r="U50" s="100">
        <f>ROUND((Components!E59/Components!E$60),3)</f>
        <v>1.4999999999999999E-2</v>
      </c>
      <c r="V50" s="100"/>
      <c r="W50" s="100">
        <f>ROUND((Components!G59/Components!G$60),3)</f>
        <v>1.9E-2</v>
      </c>
      <c r="X50" s="100"/>
      <c r="Y50" s="100">
        <f>ROUND((Components!I59/Components!I$60),3)</f>
        <v>0</v>
      </c>
      <c r="Z50" s="100"/>
      <c r="AA50" s="100">
        <f>ROUND((Components!K59/Components!K$60),3)</f>
        <v>0</v>
      </c>
      <c r="AB50" s="100"/>
      <c r="AC50" s="100">
        <f>ROUND((Components!M59/Components!M$60),3)</f>
        <v>2.5000000000000001E-2</v>
      </c>
      <c r="AD50" s="100"/>
      <c r="AE50" s="100">
        <f>ROUND((Components!O59/Components!O$60),3)</f>
        <v>0</v>
      </c>
    </row>
    <row r="51" spans="2:32" x14ac:dyDescent="0.25">
      <c r="B51" s="49" t="s">
        <v>149</v>
      </c>
      <c r="C51" s="108" t="s">
        <v>184</v>
      </c>
      <c r="D51" s="103"/>
      <c r="E51" s="103"/>
      <c r="F51" s="103"/>
      <c r="G51" s="103"/>
      <c r="H51" s="103"/>
      <c r="I51" s="103"/>
      <c r="J51" s="103"/>
      <c r="L51" s="100"/>
      <c r="M51" s="100"/>
      <c r="N51" s="100"/>
      <c r="O51" s="100"/>
      <c r="P51" s="100"/>
      <c r="Q51" s="100"/>
      <c r="R51" s="100"/>
      <c r="S51" s="100">
        <f>ROUND((Components!C58/Components!C$60),3)</f>
        <v>3.3000000000000002E-2</v>
      </c>
      <c r="T51" s="100"/>
      <c r="U51" s="100">
        <f>ROUND((Components!E58/Components!E$60),3)</f>
        <v>2.9000000000000001E-2</v>
      </c>
      <c r="V51" s="100"/>
      <c r="W51" s="100">
        <f>ROUND((Components!G58/Components!G$60),3)</f>
        <v>3.9E-2</v>
      </c>
      <c r="X51" s="100"/>
      <c r="Y51" s="100">
        <f>ROUND((Components!I58/Components!I$60),3)</f>
        <v>0</v>
      </c>
      <c r="Z51" s="100"/>
      <c r="AA51" s="100">
        <f>ROUND((Components!K58/Components!K$60),3)</f>
        <v>0</v>
      </c>
      <c r="AB51" s="100"/>
      <c r="AC51" s="100">
        <f>ROUND((Components!M58/Components!M$60),3)</f>
        <v>0.05</v>
      </c>
      <c r="AD51" s="100"/>
      <c r="AE51" s="100">
        <f>ROUND((Components!O58/Components!O$60),3)</f>
        <v>0</v>
      </c>
    </row>
    <row r="52" spans="2:32" x14ac:dyDescent="0.25">
      <c r="B52" s="33" t="s">
        <v>142</v>
      </c>
      <c r="C52" s="108" t="s">
        <v>172</v>
      </c>
      <c r="D52" s="103">
        <f>'[1]Components 13-14'!C49/'[1]Components 13-14'!C$58</f>
        <v>8.0862533692722342E-3</v>
      </c>
      <c r="E52" s="103">
        <f>'[1]Components 13-14'!E49/'[1]Components 13-14'!E$58</f>
        <v>9.8360655737704909E-3</v>
      </c>
      <c r="F52" s="103">
        <f>'[1]Components 13-14'!G49/'[1]Components 13-14'!G$58</f>
        <v>6.5934065934065925E-3</v>
      </c>
      <c r="G52" s="103">
        <f>'[1]Components 13-14'!I49/'[1]Components 13-14'!I$58</f>
        <v>0</v>
      </c>
      <c r="H52" s="103">
        <f>'[1]Components 13-14'!K49/'[1]Components 13-14'!K$58</f>
        <v>0</v>
      </c>
      <c r="I52" s="103">
        <f>'[1]Components 13-14'!M49/'[1]Components 13-14'!M$58</f>
        <v>0</v>
      </c>
      <c r="J52" s="103">
        <f>'[1]Components 13-14'!O49/'[1]Components 13-14'!O$58</f>
        <v>0</v>
      </c>
      <c r="L52" s="100">
        <f t="shared" ref="L52:R54" si="20">ROUND(D52,3)</f>
        <v>8.0000000000000002E-3</v>
      </c>
      <c r="M52" s="100">
        <f t="shared" si="20"/>
        <v>0.01</v>
      </c>
      <c r="N52" s="100">
        <f t="shared" si="20"/>
        <v>7.0000000000000001E-3</v>
      </c>
      <c r="O52" s="100">
        <f t="shared" si="20"/>
        <v>0</v>
      </c>
      <c r="P52" s="100">
        <f t="shared" si="20"/>
        <v>0</v>
      </c>
      <c r="Q52" s="100">
        <f t="shared" si="20"/>
        <v>0</v>
      </c>
      <c r="R52" s="100">
        <f t="shared" si="20"/>
        <v>0</v>
      </c>
      <c r="S52" s="100">
        <f>ROUND((Components!C51/Components!C$60),3)</f>
        <v>8.0000000000000002E-3</v>
      </c>
      <c r="T52" s="100"/>
      <c r="U52" s="100">
        <f>ROUND((Components!E51/Components!E$60),3)</f>
        <v>8.9999999999999993E-3</v>
      </c>
      <c r="V52" s="100"/>
      <c r="W52" s="100">
        <f>ROUND((Components!G51/Components!G$60),3)</f>
        <v>6.0000000000000001E-3</v>
      </c>
      <c r="X52" s="100"/>
      <c r="Y52" s="100">
        <f>ROUND((Components!I51/Components!I$60),3)</f>
        <v>0</v>
      </c>
      <c r="Z52" s="100"/>
      <c r="AA52" s="100">
        <f>ROUND((Components!K51/Components!K$60),3)</f>
        <v>0</v>
      </c>
      <c r="AB52" s="100"/>
      <c r="AC52" s="100">
        <f>ROUND((Components!M51/Components!M$60),3)</f>
        <v>0</v>
      </c>
      <c r="AD52" s="100"/>
      <c r="AE52" s="100">
        <f>ROUND((Components!O51/Components!O$60),3)</f>
        <v>0</v>
      </c>
    </row>
    <row r="53" spans="2:32" x14ac:dyDescent="0.25">
      <c r="B53" s="33" t="s">
        <v>178</v>
      </c>
      <c r="C53" s="108" t="s">
        <v>179</v>
      </c>
      <c r="D53" s="103">
        <f>'[1]Components 13-14'!C53/'[1]Components 13-14'!C$58</f>
        <v>5.3908355795148234E-3</v>
      </c>
      <c r="E53" s="103">
        <f>'[1]Components 13-14'!E53/'[1]Components 13-14'!E$58</f>
        <v>3.2786885245901635E-3</v>
      </c>
      <c r="F53" s="103">
        <f>'[1]Components 13-14'!G53/'[1]Components 13-14'!G$58</f>
        <v>4.3956043956043947E-3</v>
      </c>
      <c r="G53" s="103">
        <f>'[1]Components 13-14'!I53/'[1]Components 13-14'!I$58</f>
        <v>0</v>
      </c>
      <c r="H53" s="103">
        <f>'[1]Components 13-14'!K53/'[1]Components 13-14'!K$58</f>
        <v>0</v>
      </c>
      <c r="I53" s="103">
        <f>'[1]Components 13-14'!M53/'[1]Components 13-14'!M$58</f>
        <v>3.8649362749107796E-2</v>
      </c>
      <c r="J53" s="103">
        <f>'[1]Components 13-14'!O53/'[1]Components 13-14'!O$58</f>
        <v>0</v>
      </c>
      <c r="L53" s="100">
        <f t="shared" si="20"/>
        <v>5.0000000000000001E-3</v>
      </c>
      <c r="M53" s="100">
        <f t="shared" si="20"/>
        <v>3.0000000000000001E-3</v>
      </c>
      <c r="N53" s="100">
        <f t="shared" si="20"/>
        <v>4.0000000000000001E-3</v>
      </c>
      <c r="O53" s="100">
        <f t="shared" si="20"/>
        <v>0</v>
      </c>
      <c r="P53" s="100">
        <f t="shared" si="20"/>
        <v>0</v>
      </c>
      <c r="Q53" s="100">
        <f t="shared" si="20"/>
        <v>3.9E-2</v>
      </c>
      <c r="R53" s="100">
        <f t="shared" si="20"/>
        <v>0</v>
      </c>
      <c r="S53" s="100">
        <f>ROUND((Components!C55/Components!C$60),3)</f>
        <v>3.0000000000000001E-3</v>
      </c>
      <c r="T53" s="100"/>
      <c r="U53" s="100">
        <f>ROUND((Components!E55/Components!E$60),3)</f>
        <v>3.0000000000000001E-3</v>
      </c>
      <c r="V53" s="100"/>
      <c r="W53" s="100">
        <f>ROUND((Components!G55/Components!G$60),3)</f>
        <v>4.0000000000000001E-3</v>
      </c>
      <c r="X53" s="100"/>
      <c r="Y53" s="100">
        <f>ROUND((Components!I55/Components!I$60),3)</f>
        <v>0</v>
      </c>
      <c r="Z53" s="100"/>
      <c r="AA53" s="100">
        <f>ROUND((Components!K55/Components!K$60),3)</f>
        <v>0</v>
      </c>
      <c r="AB53" s="100"/>
      <c r="AC53" s="100">
        <f>ROUND((Components!M55/Components!M$60),3)</f>
        <v>0</v>
      </c>
      <c r="AD53" s="100"/>
      <c r="AE53" s="100">
        <f>ROUND((Components!O55/Components!O$60),3)</f>
        <v>0</v>
      </c>
    </row>
    <row r="54" spans="2:32" x14ac:dyDescent="0.25">
      <c r="B54" s="33" t="s">
        <v>180</v>
      </c>
      <c r="C54" s="108" t="s">
        <v>181</v>
      </c>
      <c r="D54" s="103">
        <f>'[1]Components 13-14'!C54/'[1]Components 13-14'!C$58</f>
        <v>2.9649595687331526E-2</v>
      </c>
      <c r="E54" s="103">
        <f>'[1]Components 13-14'!E54/'[1]Components 13-14'!E$58</f>
        <v>2.2950819672131143E-2</v>
      </c>
      <c r="F54" s="103">
        <f>'[1]Components 13-14'!G54/'[1]Components 13-14'!G$58</f>
        <v>3.5164835164835158E-2</v>
      </c>
      <c r="G54" s="103">
        <f>'[1]Components 13-14'!I54/'[1]Components 13-14'!I$58</f>
        <v>0</v>
      </c>
      <c r="H54" s="103">
        <f>'[1]Components 13-14'!K54/'[1]Components 13-14'!K$58</f>
        <v>0</v>
      </c>
      <c r="I54" s="103">
        <f>'[1]Components 13-14'!M54/'[1]Components 13-14'!M$58</f>
        <v>3.8649362749107796E-2</v>
      </c>
      <c r="J54" s="103">
        <f>'[1]Components 13-14'!O54/'[1]Components 13-14'!O$58</f>
        <v>0</v>
      </c>
      <c r="L54" s="100">
        <f t="shared" si="20"/>
        <v>0.03</v>
      </c>
      <c r="M54" s="100">
        <f t="shared" si="20"/>
        <v>2.3E-2</v>
      </c>
      <c r="N54" s="100">
        <f t="shared" si="20"/>
        <v>3.5000000000000003E-2</v>
      </c>
      <c r="O54" s="100">
        <f t="shared" si="20"/>
        <v>0</v>
      </c>
      <c r="P54" s="100">
        <f t="shared" si="20"/>
        <v>0</v>
      </c>
      <c r="Q54" s="100">
        <f t="shared" si="20"/>
        <v>3.9E-2</v>
      </c>
      <c r="R54" s="100">
        <f t="shared" si="20"/>
        <v>0</v>
      </c>
      <c r="S54" s="100">
        <f>ROUND((Components!C56/Components!C$60),3)</f>
        <v>2.5000000000000001E-2</v>
      </c>
      <c r="T54" s="100"/>
      <c r="U54" s="100">
        <f>ROUND((Components!E56/Components!E$60),3)</f>
        <v>2.3E-2</v>
      </c>
      <c r="V54" s="100"/>
      <c r="W54" s="100">
        <f>ROUND((Components!G56/Components!G$60),3)</f>
        <v>3.1E-2</v>
      </c>
      <c r="X54" s="100"/>
      <c r="Y54" s="100">
        <f>ROUND((Components!I56/Components!I$60),3)</f>
        <v>0</v>
      </c>
      <c r="Z54" s="100"/>
      <c r="AA54" s="100">
        <f>ROUND((Components!K56/Components!K$60),3)</f>
        <v>0</v>
      </c>
      <c r="AB54" s="100"/>
      <c r="AC54" s="100">
        <f>ROUND((Components!M56/Components!M$60),3)</f>
        <v>0.05</v>
      </c>
      <c r="AD54" s="100"/>
      <c r="AE54" s="100">
        <f>ROUND((Components!O56/Components!O$60),3)</f>
        <v>0</v>
      </c>
    </row>
    <row r="55" spans="2:32" x14ac:dyDescent="0.25">
      <c r="B55" s="49" t="s">
        <v>141</v>
      </c>
      <c r="C55" s="108" t="s">
        <v>171</v>
      </c>
      <c r="D55" s="109"/>
      <c r="E55" s="109"/>
      <c r="F55" s="109"/>
      <c r="G55" s="109"/>
      <c r="H55" s="109"/>
      <c r="I55" s="109"/>
      <c r="J55" s="109"/>
      <c r="K55" s="49"/>
      <c r="L55" s="110"/>
      <c r="M55" s="110"/>
      <c r="N55" s="110"/>
      <c r="O55" s="110"/>
      <c r="P55" s="110"/>
      <c r="Q55" s="110"/>
      <c r="R55" s="110"/>
      <c r="S55" s="100">
        <f>ROUND((Components!C50/Components!C$60),3)</f>
        <v>1.2999999999999999E-2</v>
      </c>
      <c r="T55" s="110"/>
      <c r="U55" s="100">
        <f>ROUND((Components!E50/Components!E$60),3)</f>
        <v>1.2E-2</v>
      </c>
      <c r="V55" s="110"/>
      <c r="W55" s="100">
        <f>ROUND((Components!G50/Components!G$60),3)</f>
        <v>1.2E-2</v>
      </c>
      <c r="X55" s="110"/>
      <c r="Y55" s="100">
        <f>ROUND((Components!I50/Components!I$60),3)</f>
        <v>1.7999999999999999E-2</v>
      </c>
      <c r="Z55" s="110"/>
      <c r="AA55" s="100">
        <f>ROUND((Components!K50/Components!K$60),3)</f>
        <v>0.23100000000000001</v>
      </c>
      <c r="AB55" s="110"/>
      <c r="AC55" s="100">
        <f>ROUND((Components!M50/Components!M$60),3)</f>
        <v>0</v>
      </c>
      <c r="AD55" s="110"/>
      <c r="AE55" s="100">
        <f>ROUND((Components!O50/Components!O$60),3)</f>
        <v>2.3E-2</v>
      </c>
    </row>
    <row r="56" spans="2:32" x14ac:dyDescent="0.25">
      <c r="B56" s="33" t="s">
        <v>182</v>
      </c>
      <c r="C56" s="115" t="s">
        <v>183</v>
      </c>
      <c r="D56" s="103">
        <f>'[1]Components 13-14'!C55/'[1]Components 13-14'!C$58</f>
        <v>0</v>
      </c>
      <c r="E56" s="103">
        <f>'[1]Components 13-14'!E55/'[1]Components 13-14'!E$58</f>
        <v>0</v>
      </c>
      <c r="F56" s="103">
        <f>'[1]Components 13-14'!G55/'[1]Components 13-14'!G$58</f>
        <v>0</v>
      </c>
      <c r="G56" s="103">
        <f>'[1]Components 13-14'!I55/'[1]Components 13-14'!I$58</f>
        <v>0</v>
      </c>
      <c r="H56" s="103">
        <f>'[1]Components 13-14'!K55/'[1]Components 13-14'!K$58</f>
        <v>0</v>
      </c>
      <c r="I56" s="103">
        <f>'[1]Components 13-14'!M55/'[1]Components 13-14'!M$58</f>
        <v>0</v>
      </c>
      <c r="J56" s="103">
        <f>'[1]Components 13-14'!O55/'[1]Components 13-14'!O$58</f>
        <v>0.9098360655737705</v>
      </c>
      <c r="L56" s="100">
        <f t="shared" ref="L56:R56" si="21">ROUND(D56,3)</f>
        <v>0</v>
      </c>
      <c r="M56" s="100">
        <f t="shared" si="21"/>
        <v>0</v>
      </c>
      <c r="N56" s="100">
        <f t="shared" si="21"/>
        <v>0</v>
      </c>
      <c r="O56" s="100">
        <f t="shared" si="21"/>
        <v>0</v>
      </c>
      <c r="P56" s="100">
        <f t="shared" si="21"/>
        <v>0</v>
      </c>
      <c r="Q56" s="100">
        <f t="shared" si="21"/>
        <v>0</v>
      </c>
      <c r="R56" s="100">
        <f t="shared" si="21"/>
        <v>0.91</v>
      </c>
      <c r="S56" s="100">
        <f>ROUND((Components!C57/Components!C$60),3)</f>
        <v>0</v>
      </c>
      <c r="T56" s="100"/>
      <c r="U56" s="100">
        <f>ROUND((Components!E57/Components!E$60),3)</f>
        <v>0</v>
      </c>
      <c r="V56" s="100"/>
      <c r="W56" s="100">
        <f>ROUND((Components!G57/Components!G$60),3)</f>
        <v>0</v>
      </c>
      <c r="X56" s="100"/>
      <c r="Y56" s="100">
        <f>ROUND((Components!I57/Components!I$60),3)</f>
        <v>0</v>
      </c>
      <c r="Z56" s="100"/>
      <c r="AA56" s="100">
        <f>ROUND((Components!K57/Components!K$60),3)</f>
        <v>0</v>
      </c>
      <c r="AB56" s="100"/>
      <c r="AC56" s="100">
        <f>ROUND((Components!M57/Components!M$60),3)</f>
        <v>0</v>
      </c>
      <c r="AD56" s="100"/>
      <c r="AE56" s="100">
        <f>ROUND((Components!O57/Components!O$60),3)</f>
        <v>0.89300000000000002</v>
      </c>
    </row>
    <row r="57" spans="2:32" s="134" customFormat="1" x14ac:dyDescent="0.25">
      <c r="S57" s="137">
        <f>SUM(S41:S45,S48:S56)</f>
        <v>0.60000000000000009</v>
      </c>
      <c r="U57" s="137">
        <f t="shared" ref="U57:AE57" si="22">SUM(U41:U45,U48:U56)</f>
        <v>0.54200000000000004</v>
      </c>
      <c r="V57" s="137">
        <f t="shared" si="22"/>
        <v>0</v>
      </c>
      <c r="W57" s="137">
        <f t="shared" si="22"/>
        <v>0.69700000000000017</v>
      </c>
      <c r="X57" s="137">
        <f t="shared" si="22"/>
        <v>0</v>
      </c>
      <c r="Y57" s="137">
        <f t="shared" si="22"/>
        <v>8.900000000000001E-2</v>
      </c>
      <c r="Z57" s="137">
        <f t="shared" si="22"/>
        <v>0</v>
      </c>
      <c r="AA57" s="137">
        <f t="shared" si="22"/>
        <v>1</v>
      </c>
      <c r="AB57" s="137">
        <f t="shared" si="22"/>
        <v>0</v>
      </c>
      <c r="AC57" s="137">
        <f t="shared" si="22"/>
        <v>1</v>
      </c>
      <c r="AD57" s="137">
        <f t="shared" si="22"/>
        <v>0</v>
      </c>
      <c r="AE57" s="137">
        <f t="shared" si="22"/>
        <v>1</v>
      </c>
    </row>
    <row r="58" spans="2:32" s="134" customFormat="1" x14ac:dyDescent="0.25">
      <c r="B58" s="145" t="s">
        <v>186</v>
      </c>
      <c r="C58" s="135"/>
      <c r="D58" s="146">
        <f t="shared" ref="D58:J58" si="23">SUM(D36:D39,D47:D57)</f>
        <v>0.50943396226415072</v>
      </c>
      <c r="E58" s="146">
        <f t="shared" si="23"/>
        <v>0.59344262295081951</v>
      </c>
      <c r="F58" s="146">
        <f t="shared" si="23"/>
        <v>0.43076923076923063</v>
      </c>
      <c r="G58" s="146">
        <f t="shared" si="23"/>
        <v>0.98795180722891551</v>
      </c>
      <c r="H58" s="146">
        <f t="shared" si="23"/>
        <v>0.99999999999999989</v>
      </c>
      <c r="I58" s="146">
        <f t="shared" si="23"/>
        <v>0.11106465677052063</v>
      </c>
      <c r="J58" s="146">
        <f t="shared" si="23"/>
        <v>0.98360655737704916</v>
      </c>
      <c r="L58" s="137">
        <f t="shared" ref="L58:R58" si="24">SUM(L36:L41,L49:L57)</f>
        <v>0.50600000000000012</v>
      </c>
      <c r="M58" s="137">
        <f t="shared" si="24"/>
        <v>0.59100000000000008</v>
      </c>
      <c r="N58" s="137">
        <f t="shared" si="24"/>
        <v>0.43000000000000005</v>
      </c>
      <c r="O58" s="137">
        <f t="shared" si="24"/>
        <v>0.98099999999999987</v>
      </c>
      <c r="P58" s="137">
        <f t="shared" si="24"/>
        <v>1</v>
      </c>
      <c r="Q58" s="137">
        <f t="shared" si="24"/>
        <v>0.11200000000000002</v>
      </c>
      <c r="R58" s="137">
        <f t="shared" si="24"/>
        <v>0.98399999999999999</v>
      </c>
      <c r="S58" s="137">
        <f>SUM(S40,S57)</f>
        <v>1</v>
      </c>
      <c r="T58" s="137"/>
      <c r="U58" s="137">
        <f t="shared" ref="U58:AE58" si="25">SUM(U40,U57)</f>
        <v>1</v>
      </c>
      <c r="V58" s="137">
        <f t="shared" si="25"/>
        <v>0</v>
      </c>
      <c r="W58" s="137">
        <f t="shared" si="25"/>
        <v>1.0000000000000002</v>
      </c>
      <c r="X58" s="137">
        <f t="shared" si="25"/>
        <v>0</v>
      </c>
      <c r="Y58" s="137">
        <f t="shared" si="25"/>
        <v>0.99999999999999989</v>
      </c>
      <c r="Z58" s="137">
        <f t="shared" si="25"/>
        <v>0</v>
      </c>
      <c r="AA58" s="137">
        <f t="shared" si="25"/>
        <v>1</v>
      </c>
      <c r="AB58" s="137">
        <f t="shared" si="25"/>
        <v>0</v>
      </c>
      <c r="AC58" s="137">
        <f t="shared" si="25"/>
        <v>1</v>
      </c>
      <c r="AD58" s="137">
        <f t="shared" si="25"/>
        <v>0</v>
      </c>
      <c r="AE58" s="137">
        <f t="shared" si="25"/>
        <v>1</v>
      </c>
      <c r="AF58" s="134" t="s">
        <v>187</v>
      </c>
    </row>
    <row r="59" spans="2:32" x14ac:dyDescent="0.25">
      <c r="B59" s="37"/>
      <c r="C59" s="102"/>
      <c r="D59" s="116"/>
      <c r="E59" s="116"/>
      <c r="F59" s="116"/>
      <c r="G59" s="116"/>
      <c r="H59" s="116"/>
      <c r="I59" s="116"/>
      <c r="J59" s="116"/>
      <c r="Q59" s="33" t="s">
        <v>187</v>
      </c>
      <c r="S59" s="100">
        <v>1</v>
      </c>
      <c r="T59" s="100"/>
      <c r="U59" s="100">
        <v>1</v>
      </c>
      <c r="V59" s="100"/>
      <c r="W59" s="100">
        <v>1</v>
      </c>
      <c r="X59" s="100"/>
      <c r="Y59" s="100">
        <v>1</v>
      </c>
      <c r="Z59" s="100"/>
      <c r="AA59" s="100">
        <v>1</v>
      </c>
      <c r="AB59" s="100"/>
      <c r="AC59" s="100">
        <v>1</v>
      </c>
      <c r="AD59" s="100"/>
      <c r="AE59" s="100">
        <v>1</v>
      </c>
    </row>
    <row r="60" spans="2:32" x14ac:dyDescent="0.25">
      <c r="B60" s="37"/>
      <c r="C60" s="102"/>
      <c r="S60" s="100">
        <f t="shared" ref="S60:AE60" si="26">S59-S58</f>
        <v>0</v>
      </c>
      <c r="T60" s="100"/>
      <c r="U60" s="100">
        <f t="shared" si="26"/>
        <v>0</v>
      </c>
      <c r="V60" s="100"/>
      <c r="W60" s="100">
        <f t="shared" si="26"/>
        <v>0</v>
      </c>
      <c r="X60" s="100"/>
      <c r="Y60" s="100">
        <f t="shared" si="26"/>
        <v>0</v>
      </c>
      <c r="Z60" s="100"/>
      <c r="AA60" s="100">
        <f t="shared" si="26"/>
        <v>0</v>
      </c>
      <c r="AB60" s="100"/>
      <c r="AC60" s="100">
        <f t="shared" si="26"/>
        <v>0</v>
      </c>
      <c r="AD60" s="100"/>
      <c r="AE60" s="100">
        <f t="shared" si="26"/>
        <v>0</v>
      </c>
    </row>
    <row r="61" spans="2:32" x14ac:dyDescent="0.25">
      <c r="B61" s="44"/>
      <c r="C61" s="102"/>
    </row>
    <row r="62" spans="2:32" x14ac:dyDescent="0.25">
      <c r="D62" s="116"/>
      <c r="E62" s="116"/>
      <c r="F62" s="116"/>
      <c r="G62" s="116"/>
      <c r="H62" s="116"/>
      <c r="I62" s="116"/>
    </row>
    <row r="63" spans="2:32" x14ac:dyDescent="0.25">
      <c r="D63" s="116"/>
      <c r="E63" s="116"/>
      <c r="F63" s="116"/>
      <c r="G63" s="116"/>
      <c r="H63" s="116"/>
      <c r="I63" s="116"/>
    </row>
    <row r="64" spans="2:32" x14ac:dyDescent="0.25">
      <c r="D64" s="116"/>
      <c r="E64" s="116"/>
      <c r="F64" s="116"/>
      <c r="G64" s="116"/>
      <c r="H64" s="116"/>
      <c r="I64" s="116"/>
    </row>
    <row r="65" spans="2:9" x14ac:dyDescent="0.25">
      <c r="D65" s="116"/>
      <c r="E65" s="116"/>
      <c r="F65" s="116"/>
      <c r="G65" s="116"/>
      <c r="H65" s="116"/>
      <c r="I65" s="116"/>
    </row>
    <row r="66" spans="2:9" x14ac:dyDescent="0.25">
      <c r="D66" s="116"/>
      <c r="E66" s="116"/>
      <c r="F66" s="116"/>
      <c r="G66" s="116"/>
      <c r="H66" s="116"/>
      <c r="I66" s="116"/>
    </row>
    <row r="67" spans="2:9" x14ac:dyDescent="0.25">
      <c r="D67" s="116"/>
      <c r="E67" s="116"/>
      <c r="F67" s="116"/>
      <c r="G67" s="116"/>
      <c r="H67" s="116"/>
      <c r="I67" s="116"/>
    </row>
    <row r="68" spans="2:9" x14ac:dyDescent="0.25">
      <c r="D68" s="116"/>
      <c r="E68" s="116"/>
      <c r="F68" s="116"/>
      <c r="G68" s="116"/>
      <c r="H68" s="116"/>
      <c r="I68" s="116"/>
    </row>
    <row r="69" spans="2:9" x14ac:dyDescent="0.25">
      <c r="D69" s="116"/>
      <c r="E69" s="116"/>
      <c r="F69" s="116"/>
      <c r="G69" s="116"/>
      <c r="H69" s="116"/>
      <c r="I69" s="116"/>
    </row>
    <row r="70" spans="2:9" x14ac:dyDescent="0.25">
      <c r="D70" s="116"/>
      <c r="E70" s="116"/>
      <c r="F70" s="116"/>
      <c r="G70" s="116"/>
      <c r="H70" s="116"/>
      <c r="I70" s="116"/>
    </row>
    <row r="71" spans="2:9" x14ac:dyDescent="0.25">
      <c r="D71" s="116"/>
      <c r="E71" s="116"/>
      <c r="F71" s="116"/>
      <c r="G71" s="116"/>
      <c r="H71" s="116"/>
      <c r="I71" s="116"/>
    </row>
    <row r="72" spans="2:9" x14ac:dyDescent="0.25">
      <c r="D72" s="116"/>
      <c r="E72" s="116"/>
      <c r="F72" s="116"/>
      <c r="G72" s="116"/>
      <c r="H72" s="116"/>
      <c r="I72" s="116"/>
    </row>
    <row r="73" spans="2:9" x14ac:dyDescent="0.25">
      <c r="D73" s="117"/>
      <c r="E73" s="117"/>
      <c r="F73" s="117"/>
      <c r="G73" s="117"/>
      <c r="H73" s="117"/>
      <c r="I73" s="117"/>
    </row>
    <row r="74" spans="2:9" x14ac:dyDescent="0.25">
      <c r="B74" s="37"/>
      <c r="D74" s="116"/>
      <c r="E74" s="116"/>
      <c r="F74" s="116"/>
      <c r="G74" s="116"/>
      <c r="H74" s="116"/>
      <c r="I74" s="116"/>
    </row>
  </sheetData>
  <sortState ref="B48:AE57">
    <sortCondition ref="C48:C57"/>
  </sortState>
  <mergeCells count="4">
    <mergeCell ref="B1:R1"/>
    <mergeCell ref="B2:R2"/>
    <mergeCell ref="B31:R31"/>
    <mergeCell ref="B32:R32"/>
  </mergeCells>
  <printOptions horizontalCentered="1" gridLines="1"/>
  <pageMargins left="0.2" right="0.2" top="1" bottom="1" header="0.3" footer="0.3"/>
  <pageSetup scale="95" fitToHeight="2" orientation="landscape" r:id="rId1"/>
  <rowBreaks count="1" manualBreakCount="1">
    <brk id="30" min="1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activeCell="A2" sqref="A2:C2"/>
    </sheetView>
  </sheetViews>
  <sheetFormatPr defaultRowHeight="12.75" x14ac:dyDescent="0.2"/>
  <cols>
    <col min="1" max="1" width="10.28515625" bestFit="1" customWidth="1"/>
    <col min="2" max="2" width="6.28515625" bestFit="1" customWidth="1"/>
    <col min="3" max="3" width="28.5703125" bestFit="1" customWidth="1"/>
    <col min="4" max="4" width="6.28515625" bestFit="1" customWidth="1"/>
    <col min="256" max="256" width="10.28515625" bestFit="1" customWidth="1"/>
    <col min="257" max="257" width="6.28515625" bestFit="1" customWidth="1"/>
    <col min="258" max="258" width="28.5703125" bestFit="1" customWidth="1"/>
    <col min="259" max="259" width="6.7109375" bestFit="1" customWidth="1"/>
    <col min="260" max="260" width="6.28515625" bestFit="1" customWidth="1"/>
    <col min="512" max="512" width="10.28515625" bestFit="1" customWidth="1"/>
    <col min="513" max="513" width="6.28515625" bestFit="1" customWidth="1"/>
    <col min="514" max="514" width="28.5703125" bestFit="1" customWidth="1"/>
    <col min="515" max="515" width="6.7109375" bestFit="1" customWidth="1"/>
    <col min="516" max="516" width="6.28515625" bestFit="1" customWidth="1"/>
    <col min="768" max="768" width="10.28515625" bestFit="1" customWidth="1"/>
    <col min="769" max="769" width="6.28515625" bestFit="1" customWidth="1"/>
    <col min="770" max="770" width="28.5703125" bestFit="1" customWidth="1"/>
    <col min="771" max="771" width="6.7109375" bestFit="1" customWidth="1"/>
    <col min="772" max="772" width="6.28515625" bestFit="1" customWidth="1"/>
    <col min="1024" max="1024" width="10.28515625" bestFit="1" customWidth="1"/>
    <col min="1025" max="1025" width="6.28515625" bestFit="1" customWidth="1"/>
    <col min="1026" max="1026" width="28.5703125" bestFit="1" customWidth="1"/>
    <col min="1027" max="1027" width="6.7109375" bestFit="1" customWidth="1"/>
    <col min="1028" max="1028" width="6.28515625" bestFit="1" customWidth="1"/>
    <col min="1280" max="1280" width="10.28515625" bestFit="1" customWidth="1"/>
    <col min="1281" max="1281" width="6.28515625" bestFit="1" customWidth="1"/>
    <col min="1282" max="1282" width="28.5703125" bestFit="1" customWidth="1"/>
    <col min="1283" max="1283" width="6.7109375" bestFit="1" customWidth="1"/>
    <col min="1284" max="1284" width="6.28515625" bestFit="1" customWidth="1"/>
    <col min="1536" max="1536" width="10.28515625" bestFit="1" customWidth="1"/>
    <col min="1537" max="1537" width="6.28515625" bestFit="1" customWidth="1"/>
    <col min="1538" max="1538" width="28.5703125" bestFit="1" customWidth="1"/>
    <col min="1539" max="1539" width="6.7109375" bestFit="1" customWidth="1"/>
    <col min="1540" max="1540" width="6.28515625" bestFit="1" customWidth="1"/>
    <col min="1792" max="1792" width="10.28515625" bestFit="1" customWidth="1"/>
    <col min="1793" max="1793" width="6.28515625" bestFit="1" customWidth="1"/>
    <col min="1794" max="1794" width="28.5703125" bestFit="1" customWidth="1"/>
    <col min="1795" max="1795" width="6.7109375" bestFit="1" customWidth="1"/>
    <col min="1796" max="1796" width="6.28515625" bestFit="1" customWidth="1"/>
    <col min="2048" max="2048" width="10.28515625" bestFit="1" customWidth="1"/>
    <col min="2049" max="2049" width="6.28515625" bestFit="1" customWidth="1"/>
    <col min="2050" max="2050" width="28.5703125" bestFit="1" customWidth="1"/>
    <col min="2051" max="2051" width="6.7109375" bestFit="1" customWidth="1"/>
    <col min="2052" max="2052" width="6.28515625" bestFit="1" customWidth="1"/>
    <col min="2304" max="2304" width="10.28515625" bestFit="1" customWidth="1"/>
    <col min="2305" max="2305" width="6.28515625" bestFit="1" customWidth="1"/>
    <col min="2306" max="2306" width="28.5703125" bestFit="1" customWidth="1"/>
    <col min="2307" max="2307" width="6.7109375" bestFit="1" customWidth="1"/>
    <col min="2308" max="2308" width="6.28515625" bestFit="1" customWidth="1"/>
    <col min="2560" max="2560" width="10.28515625" bestFit="1" customWidth="1"/>
    <col min="2561" max="2561" width="6.28515625" bestFit="1" customWidth="1"/>
    <col min="2562" max="2562" width="28.5703125" bestFit="1" customWidth="1"/>
    <col min="2563" max="2563" width="6.7109375" bestFit="1" customWidth="1"/>
    <col min="2564" max="2564" width="6.28515625" bestFit="1" customWidth="1"/>
    <col min="2816" max="2816" width="10.28515625" bestFit="1" customWidth="1"/>
    <col min="2817" max="2817" width="6.28515625" bestFit="1" customWidth="1"/>
    <col min="2818" max="2818" width="28.5703125" bestFit="1" customWidth="1"/>
    <col min="2819" max="2819" width="6.7109375" bestFit="1" customWidth="1"/>
    <col min="2820" max="2820" width="6.28515625" bestFit="1" customWidth="1"/>
    <col min="3072" max="3072" width="10.28515625" bestFit="1" customWidth="1"/>
    <col min="3073" max="3073" width="6.28515625" bestFit="1" customWidth="1"/>
    <col min="3074" max="3074" width="28.5703125" bestFit="1" customWidth="1"/>
    <col min="3075" max="3075" width="6.7109375" bestFit="1" customWidth="1"/>
    <col min="3076" max="3076" width="6.28515625" bestFit="1" customWidth="1"/>
    <col min="3328" max="3328" width="10.28515625" bestFit="1" customWidth="1"/>
    <col min="3329" max="3329" width="6.28515625" bestFit="1" customWidth="1"/>
    <col min="3330" max="3330" width="28.5703125" bestFit="1" customWidth="1"/>
    <col min="3331" max="3331" width="6.7109375" bestFit="1" customWidth="1"/>
    <col min="3332" max="3332" width="6.28515625" bestFit="1" customWidth="1"/>
    <col min="3584" max="3584" width="10.28515625" bestFit="1" customWidth="1"/>
    <col min="3585" max="3585" width="6.28515625" bestFit="1" customWidth="1"/>
    <col min="3586" max="3586" width="28.5703125" bestFit="1" customWidth="1"/>
    <col min="3587" max="3587" width="6.7109375" bestFit="1" customWidth="1"/>
    <col min="3588" max="3588" width="6.28515625" bestFit="1" customWidth="1"/>
    <col min="3840" max="3840" width="10.28515625" bestFit="1" customWidth="1"/>
    <col min="3841" max="3841" width="6.28515625" bestFit="1" customWidth="1"/>
    <col min="3842" max="3842" width="28.5703125" bestFit="1" customWidth="1"/>
    <col min="3843" max="3843" width="6.7109375" bestFit="1" customWidth="1"/>
    <col min="3844" max="3844" width="6.28515625" bestFit="1" customWidth="1"/>
    <col min="4096" max="4096" width="10.28515625" bestFit="1" customWidth="1"/>
    <col min="4097" max="4097" width="6.28515625" bestFit="1" customWidth="1"/>
    <col min="4098" max="4098" width="28.5703125" bestFit="1" customWidth="1"/>
    <col min="4099" max="4099" width="6.7109375" bestFit="1" customWidth="1"/>
    <col min="4100" max="4100" width="6.28515625" bestFit="1" customWidth="1"/>
    <col min="4352" max="4352" width="10.28515625" bestFit="1" customWidth="1"/>
    <col min="4353" max="4353" width="6.28515625" bestFit="1" customWidth="1"/>
    <col min="4354" max="4354" width="28.5703125" bestFit="1" customWidth="1"/>
    <col min="4355" max="4355" width="6.7109375" bestFit="1" customWidth="1"/>
    <col min="4356" max="4356" width="6.28515625" bestFit="1" customWidth="1"/>
    <col min="4608" max="4608" width="10.28515625" bestFit="1" customWidth="1"/>
    <col min="4609" max="4609" width="6.28515625" bestFit="1" customWidth="1"/>
    <col min="4610" max="4610" width="28.5703125" bestFit="1" customWidth="1"/>
    <col min="4611" max="4611" width="6.7109375" bestFit="1" customWidth="1"/>
    <col min="4612" max="4612" width="6.28515625" bestFit="1" customWidth="1"/>
    <col min="4864" max="4864" width="10.28515625" bestFit="1" customWidth="1"/>
    <col min="4865" max="4865" width="6.28515625" bestFit="1" customWidth="1"/>
    <col min="4866" max="4866" width="28.5703125" bestFit="1" customWidth="1"/>
    <col min="4867" max="4867" width="6.7109375" bestFit="1" customWidth="1"/>
    <col min="4868" max="4868" width="6.28515625" bestFit="1" customWidth="1"/>
    <col min="5120" max="5120" width="10.28515625" bestFit="1" customWidth="1"/>
    <col min="5121" max="5121" width="6.28515625" bestFit="1" customWidth="1"/>
    <col min="5122" max="5122" width="28.5703125" bestFit="1" customWidth="1"/>
    <col min="5123" max="5123" width="6.7109375" bestFit="1" customWidth="1"/>
    <col min="5124" max="5124" width="6.28515625" bestFit="1" customWidth="1"/>
    <col min="5376" max="5376" width="10.28515625" bestFit="1" customWidth="1"/>
    <col min="5377" max="5377" width="6.28515625" bestFit="1" customWidth="1"/>
    <col min="5378" max="5378" width="28.5703125" bestFit="1" customWidth="1"/>
    <col min="5379" max="5379" width="6.7109375" bestFit="1" customWidth="1"/>
    <col min="5380" max="5380" width="6.28515625" bestFit="1" customWidth="1"/>
    <col min="5632" max="5632" width="10.28515625" bestFit="1" customWidth="1"/>
    <col min="5633" max="5633" width="6.28515625" bestFit="1" customWidth="1"/>
    <col min="5634" max="5634" width="28.5703125" bestFit="1" customWidth="1"/>
    <col min="5635" max="5635" width="6.7109375" bestFit="1" customWidth="1"/>
    <col min="5636" max="5636" width="6.28515625" bestFit="1" customWidth="1"/>
    <col min="5888" max="5888" width="10.28515625" bestFit="1" customWidth="1"/>
    <col min="5889" max="5889" width="6.28515625" bestFit="1" customWidth="1"/>
    <col min="5890" max="5890" width="28.5703125" bestFit="1" customWidth="1"/>
    <col min="5891" max="5891" width="6.7109375" bestFit="1" customWidth="1"/>
    <col min="5892" max="5892" width="6.28515625" bestFit="1" customWidth="1"/>
    <col min="6144" max="6144" width="10.28515625" bestFit="1" customWidth="1"/>
    <col min="6145" max="6145" width="6.28515625" bestFit="1" customWidth="1"/>
    <col min="6146" max="6146" width="28.5703125" bestFit="1" customWidth="1"/>
    <col min="6147" max="6147" width="6.7109375" bestFit="1" customWidth="1"/>
    <col min="6148" max="6148" width="6.28515625" bestFit="1" customWidth="1"/>
    <col min="6400" max="6400" width="10.28515625" bestFit="1" customWidth="1"/>
    <col min="6401" max="6401" width="6.28515625" bestFit="1" customWidth="1"/>
    <col min="6402" max="6402" width="28.5703125" bestFit="1" customWidth="1"/>
    <col min="6403" max="6403" width="6.7109375" bestFit="1" customWidth="1"/>
    <col min="6404" max="6404" width="6.28515625" bestFit="1" customWidth="1"/>
    <col min="6656" max="6656" width="10.28515625" bestFit="1" customWidth="1"/>
    <col min="6657" max="6657" width="6.28515625" bestFit="1" customWidth="1"/>
    <col min="6658" max="6658" width="28.5703125" bestFit="1" customWidth="1"/>
    <col min="6659" max="6659" width="6.7109375" bestFit="1" customWidth="1"/>
    <col min="6660" max="6660" width="6.28515625" bestFit="1" customWidth="1"/>
    <col min="6912" max="6912" width="10.28515625" bestFit="1" customWidth="1"/>
    <col min="6913" max="6913" width="6.28515625" bestFit="1" customWidth="1"/>
    <col min="6914" max="6914" width="28.5703125" bestFit="1" customWidth="1"/>
    <col min="6915" max="6915" width="6.7109375" bestFit="1" customWidth="1"/>
    <col min="6916" max="6916" width="6.28515625" bestFit="1" customWidth="1"/>
    <col min="7168" max="7168" width="10.28515625" bestFit="1" customWidth="1"/>
    <col min="7169" max="7169" width="6.28515625" bestFit="1" customWidth="1"/>
    <col min="7170" max="7170" width="28.5703125" bestFit="1" customWidth="1"/>
    <col min="7171" max="7171" width="6.7109375" bestFit="1" customWidth="1"/>
    <col min="7172" max="7172" width="6.28515625" bestFit="1" customWidth="1"/>
    <col min="7424" max="7424" width="10.28515625" bestFit="1" customWidth="1"/>
    <col min="7425" max="7425" width="6.28515625" bestFit="1" customWidth="1"/>
    <col min="7426" max="7426" width="28.5703125" bestFit="1" customWidth="1"/>
    <col min="7427" max="7427" width="6.7109375" bestFit="1" customWidth="1"/>
    <col min="7428" max="7428" width="6.28515625" bestFit="1" customWidth="1"/>
    <col min="7680" max="7680" width="10.28515625" bestFit="1" customWidth="1"/>
    <col min="7681" max="7681" width="6.28515625" bestFit="1" customWidth="1"/>
    <col min="7682" max="7682" width="28.5703125" bestFit="1" customWidth="1"/>
    <col min="7683" max="7683" width="6.7109375" bestFit="1" customWidth="1"/>
    <col min="7684" max="7684" width="6.28515625" bestFit="1" customWidth="1"/>
    <col min="7936" max="7936" width="10.28515625" bestFit="1" customWidth="1"/>
    <col min="7937" max="7937" width="6.28515625" bestFit="1" customWidth="1"/>
    <col min="7938" max="7938" width="28.5703125" bestFit="1" customWidth="1"/>
    <col min="7939" max="7939" width="6.7109375" bestFit="1" customWidth="1"/>
    <col min="7940" max="7940" width="6.28515625" bestFit="1" customWidth="1"/>
    <col min="8192" max="8192" width="10.28515625" bestFit="1" customWidth="1"/>
    <col min="8193" max="8193" width="6.28515625" bestFit="1" customWidth="1"/>
    <col min="8194" max="8194" width="28.5703125" bestFit="1" customWidth="1"/>
    <col min="8195" max="8195" width="6.7109375" bestFit="1" customWidth="1"/>
    <col min="8196" max="8196" width="6.28515625" bestFit="1" customWidth="1"/>
    <col min="8448" max="8448" width="10.28515625" bestFit="1" customWidth="1"/>
    <col min="8449" max="8449" width="6.28515625" bestFit="1" customWidth="1"/>
    <col min="8450" max="8450" width="28.5703125" bestFit="1" customWidth="1"/>
    <col min="8451" max="8451" width="6.7109375" bestFit="1" customWidth="1"/>
    <col min="8452" max="8452" width="6.28515625" bestFit="1" customWidth="1"/>
    <col min="8704" max="8704" width="10.28515625" bestFit="1" customWidth="1"/>
    <col min="8705" max="8705" width="6.28515625" bestFit="1" customWidth="1"/>
    <col min="8706" max="8706" width="28.5703125" bestFit="1" customWidth="1"/>
    <col min="8707" max="8707" width="6.7109375" bestFit="1" customWidth="1"/>
    <col min="8708" max="8708" width="6.28515625" bestFit="1" customWidth="1"/>
    <col min="8960" max="8960" width="10.28515625" bestFit="1" customWidth="1"/>
    <col min="8961" max="8961" width="6.28515625" bestFit="1" customWidth="1"/>
    <col min="8962" max="8962" width="28.5703125" bestFit="1" customWidth="1"/>
    <col min="8963" max="8963" width="6.7109375" bestFit="1" customWidth="1"/>
    <col min="8964" max="8964" width="6.28515625" bestFit="1" customWidth="1"/>
    <col min="9216" max="9216" width="10.28515625" bestFit="1" customWidth="1"/>
    <col min="9217" max="9217" width="6.28515625" bestFit="1" customWidth="1"/>
    <col min="9218" max="9218" width="28.5703125" bestFit="1" customWidth="1"/>
    <col min="9219" max="9219" width="6.7109375" bestFit="1" customWidth="1"/>
    <col min="9220" max="9220" width="6.28515625" bestFit="1" customWidth="1"/>
    <col min="9472" max="9472" width="10.28515625" bestFit="1" customWidth="1"/>
    <col min="9473" max="9473" width="6.28515625" bestFit="1" customWidth="1"/>
    <col min="9474" max="9474" width="28.5703125" bestFit="1" customWidth="1"/>
    <col min="9475" max="9475" width="6.7109375" bestFit="1" customWidth="1"/>
    <col min="9476" max="9476" width="6.28515625" bestFit="1" customWidth="1"/>
    <col min="9728" max="9728" width="10.28515625" bestFit="1" customWidth="1"/>
    <col min="9729" max="9729" width="6.28515625" bestFit="1" customWidth="1"/>
    <col min="9730" max="9730" width="28.5703125" bestFit="1" customWidth="1"/>
    <col min="9731" max="9731" width="6.7109375" bestFit="1" customWidth="1"/>
    <col min="9732" max="9732" width="6.28515625" bestFit="1" customWidth="1"/>
    <col min="9984" max="9984" width="10.28515625" bestFit="1" customWidth="1"/>
    <col min="9985" max="9985" width="6.28515625" bestFit="1" customWidth="1"/>
    <col min="9986" max="9986" width="28.5703125" bestFit="1" customWidth="1"/>
    <col min="9987" max="9987" width="6.7109375" bestFit="1" customWidth="1"/>
    <col min="9988" max="9988" width="6.28515625" bestFit="1" customWidth="1"/>
    <col min="10240" max="10240" width="10.28515625" bestFit="1" customWidth="1"/>
    <col min="10241" max="10241" width="6.28515625" bestFit="1" customWidth="1"/>
    <col min="10242" max="10242" width="28.5703125" bestFit="1" customWidth="1"/>
    <col min="10243" max="10243" width="6.7109375" bestFit="1" customWidth="1"/>
    <col min="10244" max="10244" width="6.28515625" bestFit="1" customWidth="1"/>
    <col min="10496" max="10496" width="10.28515625" bestFit="1" customWidth="1"/>
    <col min="10497" max="10497" width="6.28515625" bestFit="1" customWidth="1"/>
    <col min="10498" max="10498" width="28.5703125" bestFit="1" customWidth="1"/>
    <col min="10499" max="10499" width="6.7109375" bestFit="1" customWidth="1"/>
    <col min="10500" max="10500" width="6.28515625" bestFit="1" customWidth="1"/>
    <col min="10752" max="10752" width="10.28515625" bestFit="1" customWidth="1"/>
    <col min="10753" max="10753" width="6.28515625" bestFit="1" customWidth="1"/>
    <col min="10754" max="10754" width="28.5703125" bestFit="1" customWidth="1"/>
    <col min="10755" max="10755" width="6.7109375" bestFit="1" customWidth="1"/>
    <col min="10756" max="10756" width="6.28515625" bestFit="1" customWidth="1"/>
    <col min="11008" max="11008" width="10.28515625" bestFit="1" customWidth="1"/>
    <col min="11009" max="11009" width="6.28515625" bestFit="1" customWidth="1"/>
    <col min="11010" max="11010" width="28.5703125" bestFit="1" customWidth="1"/>
    <col min="11011" max="11011" width="6.7109375" bestFit="1" customWidth="1"/>
    <col min="11012" max="11012" width="6.28515625" bestFit="1" customWidth="1"/>
    <col min="11264" max="11264" width="10.28515625" bestFit="1" customWidth="1"/>
    <col min="11265" max="11265" width="6.28515625" bestFit="1" customWidth="1"/>
    <col min="11266" max="11266" width="28.5703125" bestFit="1" customWidth="1"/>
    <col min="11267" max="11267" width="6.7109375" bestFit="1" customWidth="1"/>
    <col min="11268" max="11268" width="6.28515625" bestFit="1" customWidth="1"/>
    <col min="11520" max="11520" width="10.28515625" bestFit="1" customWidth="1"/>
    <col min="11521" max="11521" width="6.28515625" bestFit="1" customWidth="1"/>
    <col min="11522" max="11522" width="28.5703125" bestFit="1" customWidth="1"/>
    <col min="11523" max="11523" width="6.7109375" bestFit="1" customWidth="1"/>
    <col min="11524" max="11524" width="6.28515625" bestFit="1" customWidth="1"/>
    <col min="11776" max="11776" width="10.28515625" bestFit="1" customWidth="1"/>
    <col min="11777" max="11777" width="6.28515625" bestFit="1" customWidth="1"/>
    <col min="11778" max="11778" width="28.5703125" bestFit="1" customWidth="1"/>
    <col min="11779" max="11779" width="6.7109375" bestFit="1" customWidth="1"/>
    <col min="11780" max="11780" width="6.28515625" bestFit="1" customWidth="1"/>
    <col min="12032" max="12032" width="10.28515625" bestFit="1" customWidth="1"/>
    <col min="12033" max="12033" width="6.28515625" bestFit="1" customWidth="1"/>
    <col min="12034" max="12034" width="28.5703125" bestFit="1" customWidth="1"/>
    <col min="12035" max="12035" width="6.7109375" bestFit="1" customWidth="1"/>
    <col min="12036" max="12036" width="6.28515625" bestFit="1" customWidth="1"/>
    <col min="12288" max="12288" width="10.28515625" bestFit="1" customWidth="1"/>
    <col min="12289" max="12289" width="6.28515625" bestFit="1" customWidth="1"/>
    <col min="12290" max="12290" width="28.5703125" bestFit="1" customWidth="1"/>
    <col min="12291" max="12291" width="6.7109375" bestFit="1" customWidth="1"/>
    <col min="12292" max="12292" width="6.28515625" bestFit="1" customWidth="1"/>
    <col min="12544" max="12544" width="10.28515625" bestFit="1" customWidth="1"/>
    <col min="12545" max="12545" width="6.28515625" bestFit="1" customWidth="1"/>
    <col min="12546" max="12546" width="28.5703125" bestFit="1" customWidth="1"/>
    <col min="12547" max="12547" width="6.7109375" bestFit="1" customWidth="1"/>
    <col min="12548" max="12548" width="6.28515625" bestFit="1" customWidth="1"/>
    <col min="12800" max="12800" width="10.28515625" bestFit="1" customWidth="1"/>
    <col min="12801" max="12801" width="6.28515625" bestFit="1" customWidth="1"/>
    <col min="12802" max="12802" width="28.5703125" bestFit="1" customWidth="1"/>
    <col min="12803" max="12803" width="6.7109375" bestFit="1" customWidth="1"/>
    <col min="12804" max="12804" width="6.28515625" bestFit="1" customWidth="1"/>
    <col min="13056" max="13056" width="10.28515625" bestFit="1" customWidth="1"/>
    <col min="13057" max="13057" width="6.28515625" bestFit="1" customWidth="1"/>
    <col min="13058" max="13058" width="28.5703125" bestFit="1" customWidth="1"/>
    <col min="13059" max="13059" width="6.7109375" bestFit="1" customWidth="1"/>
    <col min="13060" max="13060" width="6.28515625" bestFit="1" customWidth="1"/>
    <col min="13312" max="13312" width="10.28515625" bestFit="1" customWidth="1"/>
    <col min="13313" max="13313" width="6.28515625" bestFit="1" customWidth="1"/>
    <col min="13314" max="13314" width="28.5703125" bestFit="1" customWidth="1"/>
    <col min="13315" max="13315" width="6.7109375" bestFit="1" customWidth="1"/>
    <col min="13316" max="13316" width="6.28515625" bestFit="1" customWidth="1"/>
    <col min="13568" max="13568" width="10.28515625" bestFit="1" customWidth="1"/>
    <col min="13569" max="13569" width="6.28515625" bestFit="1" customWidth="1"/>
    <col min="13570" max="13570" width="28.5703125" bestFit="1" customWidth="1"/>
    <col min="13571" max="13571" width="6.7109375" bestFit="1" customWidth="1"/>
    <col min="13572" max="13572" width="6.28515625" bestFit="1" customWidth="1"/>
    <col min="13824" max="13824" width="10.28515625" bestFit="1" customWidth="1"/>
    <col min="13825" max="13825" width="6.28515625" bestFit="1" customWidth="1"/>
    <col min="13826" max="13826" width="28.5703125" bestFit="1" customWidth="1"/>
    <col min="13827" max="13827" width="6.7109375" bestFit="1" customWidth="1"/>
    <col min="13828" max="13828" width="6.28515625" bestFit="1" customWidth="1"/>
    <col min="14080" max="14080" width="10.28515625" bestFit="1" customWidth="1"/>
    <col min="14081" max="14081" width="6.28515625" bestFit="1" customWidth="1"/>
    <col min="14082" max="14082" width="28.5703125" bestFit="1" customWidth="1"/>
    <col min="14083" max="14083" width="6.7109375" bestFit="1" customWidth="1"/>
    <col min="14084" max="14084" width="6.28515625" bestFit="1" customWidth="1"/>
    <col min="14336" max="14336" width="10.28515625" bestFit="1" customWidth="1"/>
    <col min="14337" max="14337" width="6.28515625" bestFit="1" customWidth="1"/>
    <col min="14338" max="14338" width="28.5703125" bestFit="1" customWidth="1"/>
    <col min="14339" max="14339" width="6.7109375" bestFit="1" customWidth="1"/>
    <col min="14340" max="14340" width="6.28515625" bestFit="1" customWidth="1"/>
    <col min="14592" max="14592" width="10.28515625" bestFit="1" customWidth="1"/>
    <col min="14593" max="14593" width="6.28515625" bestFit="1" customWidth="1"/>
    <col min="14594" max="14594" width="28.5703125" bestFit="1" customWidth="1"/>
    <col min="14595" max="14595" width="6.7109375" bestFit="1" customWidth="1"/>
    <col min="14596" max="14596" width="6.28515625" bestFit="1" customWidth="1"/>
    <col min="14848" max="14848" width="10.28515625" bestFit="1" customWidth="1"/>
    <col min="14849" max="14849" width="6.28515625" bestFit="1" customWidth="1"/>
    <col min="14850" max="14850" width="28.5703125" bestFit="1" customWidth="1"/>
    <col min="14851" max="14851" width="6.7109375" bestFit="1" customWidth="1"/>
    <col min="14852" max="14852" width="6.28515625" bestFit="1" customWidth="1"/>
    <col min="15104" max="15104" width="10.28515625" bestFit="1" customWidth="1"/>
    <col min="15105" max="15105" width="6.28515625" bestFit="1" customWidth="1"/>
    <col min="15106" max="15106" width="28.5703125" bestFit="1" customWidth="1"/>
    <col min="15107" max="15107" width="6.7109375" bestFit="1" customWidth="1"/>
    <col min="15108" max="15108" width="6.28515625" bestFit="1" customWidth="1"/>
    <col min="15360" max="15360" width="10.28515625" bestFit="1" customWidth="1"/>
    <col min="15361" max="15361" width="6.28515625" bestFit="1" customWidth="1"/>
    <col min="15362" max="15362" width="28.5703125" bestFit="1" customWidth="1"/>
    <col min="15363" max="15363" width="6.7109375" bestFit="1" customWidth="1"/>
    <col min="15364" max="15364" width="6.28515625" bestFit="1" customWidth="1"/>
    <col min="15616" max="15616" width="10.28515625" bestFit="1" customWidth="1"/>
    <col min="15617" max="15617" width="6.28515625" bestFit="1" customWidth="1"/>
    <col min="15618" max="15618" width="28.5703125" bestFit="1" customWidth="1"/>
    <col min="15619" max="15619" width="6.7109375" bestFit="1" customWidth="1"/>
    <col min="15620" max="15620" width="6.28515625" bestFit="1" customWidth="1"/>
    <col min="15872" max="15872" width="10.28515625" bestFit="1" customWidth="1"/>
    <col min="15873" max="15873" width="6.28515625" bestFit="1" customWidth="1"/>
    <col min="15874" max="15874" width="28.5703125" bestFit="1" customWidth="1"/>
    <col min="15875" max="15875" width="6.7109375" bestFit="1" customWidth="1"/>
    <col min="15876" max="15876" width="6.28515625" bestFit="1" customWidth="1"/>
    <col min="16128" max="16128" width="10.28515625" bestFit="1" customWidth="1"/>
    <col min="16129" max="16129" width="6.28515625" bestFit="1" customWidth="1"/>
    <col min="16130" max="16130" width="28.5703125" bestFit="1" customWidth="1"/>
    <col min="16131" max="16131" width="6.7109375" bestFit="1" customWidth="1"/>
    <col min="16132" max="16132" width="6.28515625" bestFit="1" customWidth="1"/>
  </cols>
  <sheetData>
    <row r="1" spans="1:4" ht="29.25" x14ac:dyDescent="0.25">
      <c r="A1" s="118" t="s">
        <v>303</v>
      </c>
      <c r="B1" s="119" t="s">
        <v>189</v>
      </c>
      <c r="C1" s="120" t="s">
        <v>190</v>
      </c>
      <c r="D1" s="119" t="s">
        <v>191</v>
      </c>
    </row>
    <row r="2" spans="1:4" ht="13.5" thickBot="1" x14ac:dyDescent="0.25">
      <c r="A2" s="151" t="s">
        <v>192</v>
      </c>
      <c r="B2" s="151"/>
      <c r="C2" s="151"/>
      <c r="D2" s="121"/>
    </row>
    <row r="3" spans="1:4" x14ac:dyDescent="0.2">
      <c r="A3" s="122" t="s">
        <v>16</v>
      </c>
      <c r="B3" s="123" t="s">
        <v>193</v>
      </c>
      <c r="C3" s="122" t="s">
        <v>194</v>
      </c>
      <c r="D3" s="124">
        <v>60222</v>
      </c>
    </row>
    <row r="4" spans="1:4" x14ac:dyDescent="0.2">
      <c r="A4" s="122" t="s">
        <v>16</v>
      </c>
      <c r="B4" s="125">
        <v>60025</v>
      </c>
      <c r="C4" s="126" t="s">
        <v>195</v>
      </c>
      <c r="D4" s="124">
        <v>60225</v>
      </c>
    </row>
    <row r="5" spans="1:4" x14ac:dyDescent="0.2">
      <c r="A5" s="122" t="s">
        <v>16</v>
      </c>
      <c r="B5" s="123" t="s">
        <v>196</v>
      </c>
      <c r="C5" s="122" t="s">
        <v>197</v>
      </c>
      <c r="D5" s="124">
        <v>60226</v>
      </c>
    </row>
    <row r="6" spans="1:4" x14ac:dyDescent="0.2">
      <c r="A6" s="122" t="s">
        <v>16</v>
      </c>
      <c r="B6" s="123" t="s">
        <v>198</v>
      </c>
      <c r="C6" s="122" t="s">
        <v>199</v>
      </c>
      <c r="D6" s="124">
        <v>60233</v>
      </c>
    </row>
    <row r="7" spans="1:4" x14ac:dyDescent="0.2">
      <c r="A7" s="122" t="s">
        <v>16</v>
      </c>
      <c r="B7" s="125">
        <v>60035</v>
      </c>
      <c r="C7" s="126" t="s">
        <v>200</v>
      </c>
      <c r="D7" s="124">
        <v>60235</v>
      </c>
    </row>
    <row r="8" spans="1:4" x14ac:dyDescent="0.2">
      <c r="A8" s="122" t="s">
        <v>16</v>
      </c>
      <c r="B8" s="123" t="s">
        <v>201</v>
      </c>
      <c r="C8" s="122" t="s">
        <v>202</v>
      </c>
      <c r="D8" s="124">
        <v>60236</v>
      </c>
    </row>
    <row r="9" spans="1:4" x14ac:dyDescent="0.2">
      <c r="A9" s="122" t="s">
        <v>18</v>
      </c>
      <c r="B9" s="123" t="s">
        <v>203</v>
      </c>
      <c r="C9" s="122" t="s">
        <v>204</v>
      </c>
      <c r="D9" s="124">
        <v>60244</v>
      </c>
    </row>
    <row r="10" spans="1:4" x14ac:dyDescent="0.2">
      <c r="A10" s="122" t="s">
        <v>18</v>
      </c>
      <c r="B10" s="123" t="s">
        <v>205</v>
      </c>
      <c r="C10" s="122" t="s">
        <v>206</v>
      </c>
      <c r="D10" s="124">
        <v>60245</v>
      </c>
    </row>
    <row r="11" spans="1:4" x14ac:dyDescent="0.2">
      <c r="A11" s="122" t="s">
        <v>18</v>
      </c>
      <c r="B11" s="123" t="s">
        <v>207</v>
      </c>
      <c r="C11" s="122" t="s">
        <v>208</v>
      </c>
      <c r="D11" s="124">
        <v>60246</v>
      </c>
    </row>
    <row r="12" spans="1:4" x14ac:dyDescent="0.2">
      <c r="A12" s="122" t="s">
        <v>22</v>
      </c>
      <c r="B12" s="123" t="s">
        <v>209</v>
      </c>
      <c r="C12" s="122" t="s">
        <v>210</v>
      </c>
      <c r="D12" s="124">
        <v>60247</v>
      </c>
    </row>
    <row r="13" spans="1:4" x14ac:dyDescent="0.2">
      <c r="A13" s="122" t="s">
        <v>20</v>
      </c>
      <c r="B13" s="123" t="s">
        <v>211</v>
      </c>
      <c r="C13" s="122" t="s">
        <v>212</v>
      </c>
      <c r="D13" s="124">
        <v>60255</v>
      </c>
    </row>
    <row r="14" spans="1:4" x14ac:dyDescent="0.2">
      <c r="A14" s="122" t="s">
        <v>22</v>
      </c>
      <c r="B14" s="123" t="s">
        <v>213</v>
      </c>
      <c r="C14" s="122" t="s">
        <v>214</v>
      </c>
      <c r="D14" s="124">
        <v>60257</v>
      </c>
    </row>
    <row r="15" spans="1:4" x14ac:dyDescent="0.2">
      <c r="A15" s="127" t="s">
        <v>215</v>
      </c>
      <c r="B15" s="123" t="s">
        <v>216</v>
      </c>
      <c r="C15" s="122" t="s">
        <v>217</v>
      </c>
      <c r="D15" s="124">
        <v>60261</v>
      </c>
    </row>
    <row r="16" spans="1:4" x14ac:dyDescent="0.2">
      <c r="A16" s="127" t="s">
        <v>218</v>
      </c>
      <c r="B16" s="123" t="s">
        <v>219</v>
      </c>
      <c r="C16" s="122" t="s">
        <v>220</v>
      </c>
      <c r="D16" s="124">
        <v>60262</v>
      </c>
    </row>
    <row r="17" spans="1:4" x14ac:dyDescent="0.2">
      <c r="A17" s="127" t="s">
        <v>221</v>
      </c>
      <c r="B17" s="123" t="s">
        <v>222</v>
      </c>
      <c r="C17" s="122" t="s">
        <v>223</v>
      </c>
      <c r="D17" s="124">
        <v>60263</v>
      </c>
    </row>
    <row r="18" spans="1:4" x14ac:dyDescent="0.2">
      <c r="A18" s="127" t="s">
        <v>224</v>
      </c>
      <c r="B18" s="123" t="s">
        <v>225</v>
      </c>
      <c r="C18" s="122" t="s">
        <v>226</v>
      </c>
      <c r="D18" s="124">
        <v>60264</v>
      </c>
    </row>
    <row r="19" spans="1:4" x14ac:dyDescent="0.2">
      <c r="A19" s="127" t="s">
        <v>227</v>
      </c>
      <c r="B19" s="123" t="s">
        <v>228</v>
      </c>
      <c r="C19" s="122" t="s">
        <v>229</v>
      </c>
      <c r="D19" s="124">
        <v>60265</v>
      </c>
    </row>
    <row r="20" spans="1:4" x14ac:dyDescent="0.2">
      <c r="A20" s="127" t="s">
        <v>230</v>
      </c>
      <c r="B20" s="123" t="s">
        <v>231</v>
      </c>
      <c r="C20" s="122" t="s">
        <v>232</v>
      </c>
      <c r="D20" s="124">
        <v>60266</v>
      </c>
    </row>
    <row r="21" spans="1:4" x14ac:dyDescent="0.2">
      <c r="A21" s="127" t="s">
        <v>233</v>
      </c>
      <c r="B21" s="123" t="s">
        <v>234</v>
      </c>
      <c r="C21" s="122" t="s">
        <v>235</v>
      </c>
      <c r="D21" s="124">
        <v>60267</v>
      </c>
    </row>
    <row r="22" spans="1:4" ht="15" x14ac:dyDescent="0.3">
      <c r="A22" s="122" t="s">
        <v>22</v>
      </c>
      <c r="B22" s="123" t="s">
        <v>236</v>
      </c>
      <c r="C22" s="128" t="s">
        <v>237</v>
      </c>
      <c r="D22" s="124">
        <v>60271</v>
      </c>
    </row>
    <row r="23" spans="1:4" ht="15" x14ac:dyDescent="0.3">
      <c r="A23" s="122" t="s">
        <v>16</v>
      </c>
      <c r="B23" s="123" t="s">
        <v>238</v>
      </c>
      <c r="C23" s="128" t="s">
        <v>239</v>
      </c>
      <c r="D23" s="124">
        <v>60272</v>
      </c>
    </row>
    <row r="24" spans="1:4" x14ac:dyDescent="0.2">
      <c r="A24" s="122" t="s">
        <v>16</v>
      </c>
      <c r="B24" s="123" t="s">
        <v>240</v>
      </c>
      <c r="C24" s="122" t="s">
        <v>241</v>
      </c>
      <c r="D24" s="124">
        <v>60273</v>
      </c>
    </row>
    <row r="25" spans="1:4" x14ac:dyDescent="0.2">
      <c r="A25" s="122" t="s">
        <v>22</v>
      </c>
      <c r="B25" s="123" t="s">
        <v>242</v>
      </c>
      <c r="C25" s="122" t="s">
        <v>243</v>
      </c>
      <c r="D25" s="124">
        <v>60274</v>
      </c>
    </row>
    <row r="26" spans="1:4" x14ac:dyDescent="0.2">
      <c r="A26" s="122" t="s">
        <v>22</v>
      </c>
      <c r="B26" s="123" t="s">
        <v>244</v>
      </c>
      <c r="C26" s="122" t="s">
        <v>245</v>
      </c>
      <c r="D26" s="124">
        <v>60275</v>
      </c>
    </row>
    <row r="27" spans="1:4" x14ac:dyDescent="0.2">
      <c r="A27" s="122" t="s">
        <v>22</v>
      </c>
      <c r="B27" s="123" t="s">
        <v>246</v>
      </c>
      <c r="C27" s="122" t="s">
        <v>247</v>
      </c>
      <c r="D27" s="124">
        <v>60281</v>
      </c>
    </row>
    <row r="28" spans="1:4" x14ac:dyDescent="0.2">
      <c r="A28" s="122" t="s">
        <v>18</v>
      </c>
      <c r="B28" s="123" t="s">
        <v>248</v>
      </c>
      <c r="C28" s="122" t="s">
        <v>249</v>
      </c>
      <c r="D28" s="124">
        <v>60282</v>
      </c>
    </row>
    <row r="29" spans="1:4" x14ac:dyDescent="0.2">
      <c r="A29" s="122" t="s">
        <v>22</v>
      </c>
      <c r="B29" s="123" t="s">
        <v>250</v>
      </c>
      <c r="C29" s="122" t="s">
        <v>251</v>
      </c>
      <c r="D29" s="124">
        <v>60283</v>
      </c>
    </row>
    <row r="30" spans="1:4" x14ac:dyDescent="0.2">
      <c r="A30" s="122" t="s">
        <v>28</v>
      </c>
      <c r="B30" s="123" t="s">
        <v>252</v>
      </c>
      <c r="C30" s="122" t="s">
        <v>253</v>
      </c>
      <c r="D30" s="124">
        <v>60291</v>
      </c>
    </row>
    <row r="31" spans="1:4" x14ac:dyDescent="0.2">
      <c r="A31" s="122" t="s">
        <v>28</v>
      </c>
      <c r="B31" s="123" t="s">
        <v>254</v>
      </c>
      <c r="C31" s="122" t="s">
        <v>255</v>
      </c>
      <c r="D31" s="124">
        <v>60292</v>
      </c>
    </row>
    <row r="32" spans="1:4" x14ac:dyDescent="0.2">
      <c r="A32" s="122" t="s">
        <v>28</v>
      </c>
      <c r="B32" s="123" t="s">
        <v>256</v>
      </c>
      <c r="C32" s="122" t="s">
        <v>257</v>
      </c>
      <c r="D32" s="124">
        <v>60293</v>
      </c>
    </row>
    <row r="33" spans="1:4" x14ac:dyDescent="0.2">
      <c r="A33" s="122" t="s">
        <v>16</v>
      </c>
      <c r="B33" s="125">
        <v>60101</v>
      </c>
      <c r="C33" s="126" t="s">
        <v>258</v>
      </c>
      <c r="D33" s="124">
        <v>60301</v>
      </c>
    </row>
    <row r="34" spans="1:4" x14ac:dyDescent="0.2">
      <c r="A34" s="122" t="s">
        <v>16</v>
      </c>
      <c r="B34" s="125">
        <v>60102</v>
      </c>
      <c r="C34" s="126" t="s">
        <v>259</v>
      </c>
      <c r="D34" s="124">
        <v>60302</v>
      </c>
    </row>
    <row r="35" spans="1:4" x14ac:dyDescent="0.2">
      <c r="A35" s="122" t="s">
        <v>18</v>
      </c>
      <c r="B35" s="125">
        <v>60103</v>
      </c>
      <c r="C35" s="122" t="s">
        <v>260</v>
      </c>
      <c r="D35" s="124">
        <v>60303</v>
      </c>
    </row>
    <row r="36" spans="1:4" x14ac:dyDescent="0.2">
      <c r="A36" s="122" t="s">
        <v>20</v>
      </c>
      <c r="B36" s="125">
        <v>60104</v>
      </c>
      <c r="C36" s="122" t="s">
        <v>261</v>
      </c>
      <c r="D36" s="124">
        <v>60304</v>
      </c>
    </row>
    <row r="37" spans="1:4" x14ac:dyDescent="0.2">
      <c r="A37" s="122" t="s">
        <v>28</v>
      </c>
      <c r="B37" s="125">
        <v>60105</v>
      </c>
      <c r="C37" s="122" t="s">
        <v>262</v>
      </c>
      <c r="D37" s="124">
        <v>60305</v>
      </c>
    </row>
    <row r="38" spans="1:4" x14ac:dyDescent="0.2">
      <c r="A38" s="122" t="s">
        <v>24</v>
      </c>
      <c r="B38" s="125">
        <v>60106</v>
      </c>
      <c r="C38" s="126" t="s">
        <v>263</v>
      </c>
      <c r="D38" s="124">
        <v>60306</v>
      </c>
    </row>
    <row r="39" spans="1:4" x14ac:dyDescent="0.2">
      <c r="A39" s="122" t="s">
        <v>16</v>
      </c>
      <c r="B39" s="125">
        <v>60107</v>
      </c>
      <c r="C39" s="126" t="s">
        <v>264</v>
      </c>
      <c r="D39" s="124">
        <v>60307</v>
      </c>
    </row>
    <row r="40" spans="1:4" x14ac:dyDescent="0.2">
      <c r="A40" s="122" t="s">
        <v>22</v>
      </c>
      <c r="B40" s="125">
        <v>60108</v>
      </c>
      <c r="C40" s="122" t="s">
        <v>265</v>
      </c>
      <c r="D40" s="124">
        <v>60308</v>
      </c>
    </row>
    <row r="41" spans="1:4" x14ac:dyDescent="0.2">
      <c r="A41" s="122" t="s">
        <v>26</v>
      </c>
      <c r="B41" s="125">
        <v>60109</v>
      </c>
      <c r="C41" s="122" t="s">
        <v>266</v>
      </c>
      <c r="D41" s="124">
        <v>60309</v>
      </c>
    </row>
    <row r="42" spans="1:4" x14ac:dyDescent="0.2">
      <c r="A42" s="122" t="s">
        <v>24</v>
      </c>
      <c r="B42" s="123" t="s">
        <v>267</v>
      </c>
      <c r="C42" s="122" t="s">
        <v>268</v>
      </c>
      <c r="D42" s="124">
        <v>60311</v>
      </c>
    </row>
    <row r="43" spans="1:4" x14ac:dyDescent="0.2">
      <c r="A43" s="122" t="s">
        <v>24</v>
      </c>
      <c r="B43" s="123" t="s">
        <v>269</v>
      </c>
      <c r="C43" s="122" t="s">
        <v>270</v>
      </c>
      <c r="D43" s="124">
        <v>60312</v>
      </c>
    </row>
    <row r="44" spans="1:4" x14ac:dyDescent="0.2">
      <c r="A44" s="122" t="s">
        <v>24</v>
      </c>
      <c r="B44" s="123" t="s">
        <v>271</v>
      </c>
      <c r="C44" s="122" t="s">
        <v>272</v>
      </c>
      <c r="D44" s="124">
        <v>60313</v>
      </c>
    </row>
    <row r="45" spans="1:4" x14ac:dyDescent="0.2">
      <c r="A45" s="122" t="s">
        <v>24</v>
      </c>
      <c r="B45" s="125">
        <v>60119</v>
      </c>
      <c r="C45" s="126" t="s">
        <v>273</v>
      </c>
      <c r="D45" s="124">
        <v>60319</v>
      </c>
    </row>
    <row r="46" spans="1:4" x14ac:dyDescent="0.2">
      <c r="A46" s="122" t="s">
        <v>22</v>
      </c>
      <c r="B46" s="123" t="s">
        <v>274</v>
      </c>
      <c r="C46" s="122" t="s">
        <v>275</v>
      </c>
      <c r="D46" s="124">
        <v>60321</v>
      </c>
    </row>
    <row r="47" spans="1:4" x14ac:dyDescent="0.2">
      <c r="A47" s="122" t="s">
        <v>22</v>
      </c>
      <c r="B47" s="123" t="s">
        <v>276</v>
      </c>
      <c r="C47" s="122" t="s">
        <v>277</v>
      </c>
      <c r="D47" s="124">
        <v>60322</v>
      </c>
    </row>
    <row r="48" spans="1:4" x14ac:dyDescent="0.2">
      <c r="A48" s="122" t="s">
        <v>22</v>
      </c>
      <c r="B48" s="123" t="s">
        <v>278</v>
      </c>
      <c r="C48" s="122" t="s">
        <v>279</v>
      </c>
      <c r="D48" s="124">
        <v>60323</v>
      </c>
    </row>
    <row r="49" spans="1:4" x14ac:dyDescent="0.2">
      <c r="A49" s="122" t="s">
        <v>24</v>
      </c>
      <c r="B49" s="123" t="s">
        <v>280</v>
      </c>
      <c r="C49" s="122" t="s">
        <v>281</v>
      </c>
      <c r="D49" s="124">
        <v>60331</v>
      </c>
    </row>
    <row r="50" spans="1:4" x14ac:dyDescent="0.2">
      <c r="A50" s="122" t="s">
        <v>24</v>
      </c>
      <c r="B50" s="123" t="s">
        <v>282</v>
      </c>
      <c r="C50" s="122" t="s">
        <v>283</v>
      </c>
      <c r="D50" s="124">
        <v>60332</v>
      </c>
    </row>
    <row r="51" spans="1:4" x14ac:dyDescent="0.2">
      <c r="A51" s="122" t="s">
        <v>22</v>
      </c>
      <c r="B51" s="123" t="s">
        <v>284</v>
      </c>
      <c r="C51" s="122" t="s">
        <v>285</v>
      </c>
      <c r="D51" s="124">
        <v>60335</v>
      </c>
    </row>
    <row r="52" spans="1:4" x14ac:dyDescent="0.2">
      <c r="A52" s="122" t="s">
        <v>24</v>
      </c>
      <c r="B52" s="125">
        <v>60155</v>
      </c>
      <c r="C52" s="122" t="s">
        <v>286</v>
      </c>
      <c r="D52" s="124">
        <v>60355</v>
      </c>
    </row>
    <row r="53" spans="1:4" x14ac:dyDescent="0.2">
      <c r="A53" s="122" t="s">
        <v>22</v>
      </c>
      <c r="B53" s="123" t="s">
        <v>287</v>
      </c>
      <c r="C53" s="122" t="s">
        <v>288</v>
      </c>
      <c r="D53" s="124">
        <v>60356</v>
      </c>
    </row>
    <row r="54" spans="1:4" x14ac:dyDescent="0.2">
      <c r="A54" s="122" t="s">
        <v>28</v>
      </c>
      <c r="B54" s="125">
        <v>60157</v>
      </c>
      <c r="C54" s="122" t="s">
        <v>289</v>
      </c>
      <c r="D54" s="124">
        <v>60357</v>
      </c>
    </row>
    <row r="55" spans="1:4" x14ac:dyDescent="0.2">
      <c r="A55" s="122" t="s">
        <v>28</v>
      </c>
      <c r="B55" s="123" t="s">
        <v>290</v>
      </c>
      <c r="C55" s="122" t="s">
        <v>291</v>
      </c>
      <c r="D55" s="124">
        <v>60358</v>
      </c>
    </row>
    <row r="56" spans="1:4" x14ac:dyDescent="0.2">
      <c r="A56" s="122" t="s">
        <v>28</v>
      </c>
      <c r="B56" s="125">
        <v>60159</v>
      </c>
      <c r="C56" s="122" t="s">
        <v>292</v>
      </c>
      <c r="D56" s="124">
        <v>60359</v>
      </c>
    </row>
    <row r="57" spans="1:4" x14ac:dyDescent="0.2">
      <c r="A57" s="122" t="s">
        <v>28</v>
      </c>
      <c r="B57" s="129">
        <v>65202</v>
      </c>
      <c r="C57" s="122" t="s">
        <v>293</v>
      </c>
      <c r="D57" s="124">
        <v>65222</v>
      </c>
    </row>
    <row r="58" spans="1:4" x14ac:dyDescent="0.2">
      <c r="A58" s="122" t="s">
        <v>28</v>
      </c>
      <c r="B58" s="129">
        <v>65203</v>
      </c>
      <c r="C58" s="122" t="s">
        <v>294</v>
      </c>
      <c r="D58" s="124">
        <v>65223</v>
      </c>
    </row>
    <row r="59" spans="1:4" x14ac:dyDescent="0.2">
      <c r="A59" s="122" t="s">
        <v>26</v>
      </c>
      <c r="B59" s="123" t="s">
        <v>295</v>
      </c>
      <c r="C59" s="122" t="s">
        <v>296</v>
      </c>
      <c r="D59" s="124">
        <v>65215</v>
      </c>
    </row>
  </sheetData>
  <mergeCells count="1"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activeCell="A2" sqref="A2:C2"/>
    </sheetView>
  </sheetViews>
  <sheetFormatPr defaultRowHeight="12.75" x14ac:dyDescent="0.2"/>
  <cols>
    <col min="1" max="1" width="10.28515625" bestFit="1" customWidth="1"/>
    <col min="2" max="2" width="6.28515625" bestFit="1" customWidth="1"/>
    <col min="3" max="3" width="28.5703125" bestFit="1" customWidth="1"/>
    <col min="4" max="4" width="6.28515625" bestFit="1" customWidth="1"/>
    <col min="256" max="256" width="10.28515625" bestFit="1" customWidth="1"/>
    <col min="257" max="257" width="6.28515625" bestFit="1" customWidth="1"/>
    <col min="258" max="258" width="28.5703125" bestFit="1" customWidth="1"/>
    <col min="259" max="259" width="6.7109375" bestFit="1" customWidth="1"/>
    <col min="260" max="260" width="6.28515625" bestFit="1" customWidth="1"/>
    <col min="512" max="512" width="10.28515625" bestFit="1" customWidth="1"/>
    <col min="513" max="513" width="6.28515625" bestFit="1" customWidth="1"/>
    <col min="514" max="514" width="28.5703125" bestFit="1" customWidth="1"/>
    <col min="515" max="515" width="6.7109375" bestFit="1" customWidth="1"/>
    <col min="516" max="516" width="6.28515625" bestFit="1" customWidth="1"/>
    <col min="768" max="768" width="10.28515625" bestFit="1" customWidth="1"/>
    <col min="769" max="769" width="6.28515625" bestFit="1" customWidth="1"/>
    <col min="770" max="770" width="28.5703125" bestFit="1" customWidth="1"/>
    <col min="771" max="771" width="6.7109375" bestFit="1" customWidth="1"/>
    <col min="772" max="772" width="6.28515625" bestFit="1" customWidth="1"/>
    <col min="1024" max="1024" width="10.28515625" bestFit="1" customWidth="1"/>
    <col min="1025" max="1025" width="6.28515625" bestFit="1" customWidth="1"/>
    <col min="1026" max="1026" width="28.5703125" bestFit="1" customWidth="1"/>
    <col min="1027" max="1027" width="6.7109375" bestFit="1" customWidth="1"/>
    <col min="1028" max="1028" width="6.28515625" bestFit="1" customWidth="1"/>
    <col min="1280" max="1280" width="10.28515625" bestFit="1" customWidth="1"/>
    <col min="1281" max="1281" width="6.28515625" bestFit="1" customWidth="1"/>
    <col min="1282" max="1282" width="28.5703125" bestFit="1" customWidth="1"/>
    <col min="1283" max="1283" width="6.7109375" bestFit="1" customWidth="1"/>
    <col min="1284" max="1284" width="6.28515625" bestFit="1" customWidth="1"/>
    <col min="1536" max="1536" width="10.28515625" bestFit="1" customWidth="1"/>
    <col min="1537" max="1537" width="6.28515625" bestFit="1" customWidth="1"/>
    <col min="1538" max="1538" width="28.5703125" bestFit="1" customWidth="1"/>
    <col min="1539" max="1539" width="6.7109375" bestFit="1" customWidth="1"/>
    <col min="1540" max="1540" width="6.28515625" bestFit="1" customWidth="1"/>
    <col min="1792" max="1792" width="10.28515625" bestFit="1" customWidth="1"/>
    <col min="1793" max="1793" width="6.28515625" bestFit="1" customWidth="1"/>
    <col min="1794" max="1794" width="28.5703125" bestFit="1" customWidth="1"/>
    <col min="1795" max="1795" width="6.7109375" bestFit="1" customWidth="1"/>
    <col min="1796" max="1796" width="6.28515625" bestFit="1" customWidth="1"/>
    <col min="2048" max="2048" width="10.28515625" bestFit="1" customWidth="1"/>
    <col min="2049" max="2049" width="6.28515625" bestFit="1" customWidth="1"/>
    <col min="2050" max="2050" width="28.5703125" bestFit="1" customWidth="1"/>
    <col min="2051" max="2051" width="6.7109375" bestFit="1" customWidth="1"/>
    <col min="2052" max="2052" width="6.28515625" bestFit="1" customWidth="1"/>
    <col min="2304" max="2304" width="10.28515625" bestFit="1" customWidth="1"/>
    <col min="2305" max="2305" width="6.28515625" bestFit="1" customWidth="1"/>
    <col min="2306" max="2306" width="28.5703125" bestFit="1" customWidth="1"/>
    <col min="2307" max="2307" width="6.7109375" bestFit="1" customWidth="1"/>
    <col min="2308" max="2308" width="6.28515625" bestFit="1" customWidth="1"/>
    <col min="2560" max="2560" width="10.28515625" bestFit="1" customWidth="1"/>
    <col min="2561" max="2561" width="6.28515625" bestFit="1" customWidth="1"/>
    <col min="2562" max="2562" width="28.5703125" bestFit="1" customWidth="1"/>
    <col min="2563" max="2563" width="6.7109375" bestFit="1" customWidth="1"/>
    <col min="2564" max="2564" width="6.28515625" bestFit="1" customWidth="1"/>
    <col min="2816" max="2816" width="10.28515625" bestFit="1" customWidth="1"/>
    <col min="2817" max="2817" width="6.28515625" bestFit="1" customWidth="1"/>
    <col min="2818" max="2818" width="28.5703125" bestFit="1" customWidth="1"/>
    <col min="2819" max="2819" width="6.7109375" bestFit="1" customWidth="1"/>
    <col min="2820" max="2820" width="6.28515625" bestFit="1" customWidth="1"/>
    <col min="3072" max="3072" width="10.28515625" bestFit="1" customWidth="1"/>
    <col min="3073" max="3073" width="6.28515625" bestFit="1" customWidth="1"/>
    <col min="3074" max="3074" width="28.5703125" bestFit="1" customWidth="1"/>
    <col min="3075" max="3075" width="6.7109375" bestFit="1" customWidth="1"/>
    <col min="3076" max="3076" width="6.28515625" bestFit="1" customWidth="1"/>
    <col min="3328" max="3328" width="10.28515625" bestFit="1" customWidth="1"/>
    <col min="3329" max="3329" width="6.28515625" bestFit="1" customWidth="1"/>
    <col min="3330" max="3330" width="28.5703125" bestFit="1" customWidth="1"/>
    <col min="3331" max="3331" width="6.7109375" bestFit="1" customWidth="1"/>
    <col min="3332" max="3332" width="6.28515625" bestFit="1" customWidth="1"/>
    <col min="3584" max="3584" width="10.28515625" bestFit="1" customWidth="1"/>
    <col min="3585" max="3585" width="6.28515625" bestFit="1" customWidth="1"/>
    <col min="3586" max="3586" width="28.5703125" bestFit="1" customWidth="1"/>
    <col min="3587" max="3587" width="6.7109375" bestFit="1" customWidth="1"/>
    <col min="3588" max="3588" width="6.28515625" bestFit="1" customWidth="1"/>
    <col min="3840" max="3840" width="10.28515625" bestFit="1" customWidth="1"/>
    <col min="3841" max="3841" width="6.28515625" bestFit="1" customWidth="1"/>
    <col min="3842" max="3842" width="28.5703125" bestFit="1" customWidth="1"/>
    <col min="3843" max="3843" width="6.7109375" bestFit="1" customWidth="1"/>
    <col min="3844" max="3844" width="6.28515625" bestFit="1" customWidth="1"/>
    <col min="4096" max="4096" width="10.28515625" bestFit="1" customWidth="1"/>
    <col min="4097" max="4097" width="6.28515625" bestFit="1" customWidth="1"/>
    <col min="4098" max="4098" width="28.5703125" bestFit="1" customWidth="1"/>
    <col min="4099" max="4099" width="6.7109375" bestFit="1" customWidth="1"/>
    <col min="4100" max="4100" width="6.28515625" bestFit="1" customWidth="1"/>
    <col min="4352" max="4352" width="10.28515625" bestFit="1" customWidth="1"/>
    <col min="4353" max="4353" width="6.28515625" bestFit="1" customWidth="1"/>
    <col min="4354" max="4354" width="28.5703125" bestFit="1" customWidth="1"/>
    <col min="4355" max="4355" width="6.7109375" bestFit="1" customWidth="1"/>
    <col min="4356" max="4356" width="6.28515625" bestFit="1" customWidth="1"/>
    <col min="4608" max="4608" width="10.28515625" bestFit="1" customWidth="1"/>
    <col min="4609" max="4609" width="6.28515625" bestFit="1" customWidth="1"/>
    <col min="4610" max="4610" width="28.5703125" bestFit="1" customWidth="1"/>
    <col min="4611" max="4611" width="6.7109375" bestFit="1" customWidth="1"/>
    <col min="4612" max="4612" width="6.28515625" bestFit="1" customWidth="1"/>
    <col min="4864" max="4864" width="10.28515625" bestFit="1" customWidth="1"/>
    <col min="4865" max="4865" width="6.28515625" bestFit="1" customWidth="1"/>
    <col min="4866" max="4866" width="28.5703125" bestFit="1" customWidth="1"/>
    <col min="4867" max="4867" width="6.7109375" bestFit="1" customWidth="1"/>
    <col min="4868" max="4868" width="6.28515625" bestFit="1" customWidth="1"/>
    <col min="5120" max="5120" width="10.28515625" bestFit="1" customWidth="1"/>
    <col min="5121" max="5121" width="6.28515625" bestFit="1" customWidth="1"/>
    <col min="5122" max="5122" width="28.5703125" bestFit="1" customWidth="1"/>
    <col min="5123" max="5123" width="6.7109375" bestFit="1" customWidth="1"/>
    <col min="5124" max="5124" width="6.28515625" bestFit="1" customWidth="1"/>
    <col min="5376" max="5376" width="10.28515625" bestFit="1" customWidth="1"/>
    <col min="5377" max="5377" width="6.28515625" bestFit="1" customWidth="1"/>
    <col min="5378" max="5378" width="28.5703125" bestFit="1" customWidth="1"/>
    <col min="5379" max="5379" width="6.7109375" bestFit="1" customWidth="1"/>
    <col min="5380" max="5380" width="6.28515625" bestFit="1" customWidth="1"/>
    <col min="5632" max="5632" width="10.28515625" bestFit="1" customWidth="1"/>
    <col min="5633" max="5633" width="6.28515625" bestFit="1" customWidth="1"/>
    <col min="5634" max="5634" width="28.5703125" bestFit="1" customWidth="1"/>
    <col min="5635" max="5635" width="6.7109375" bestFit="1" customWidth="1"/>
    <col min="5636" max="5636" width="6.28515625" bestFit="1" customWidth="1"/>
    <col min="5888" max="5888" width="10.28515625" bestFit="1" customWidth="1"/>
    <col min="5889" max="5889" width="6.28515625" bestFit="1" customWidth="1"/>
    <col min="5890" max="5890" width="28.5703125" bestFit="1" customWidth="1"/>
    <col min="5891" max="5891" width="6.7109375" bestFit="1" customWidth="1"/>
    <col min="5892" max="5892" width="6.28515625" bestFit="1" customWidth="1"/>
    <col min="6144" max="6144" width="10.28515625" bestFit="1" customWidth="1"/>
    <col min="6145" max="6145" width="6.28515625" bestFit="1" customWidth="1"/>
    <col min="6146" max="6146" width="28.5703125" bestFit="1" customWidth="1"/>
    <col min="6147" max="6147" width="6.7109375" bestFit="1" customWidth="1"/>
    <col min="6148" max="6148" width="6.28515625" bestFit="1" customWidth="1"/>
    <col min="6400" max="6400" width="10.28515625" bestFit="1" customWidth="1"/>
    <col min="6401" max="6401" width="6.28515625" bestFit="1" customWidth="1"/>
    <col min="6402" max="6402" width="28.5703125" bestFit="1" customWidth="1"/>
    <col min="6403" max="6403" width="6.7109375" bestFit="1" customWidth="1"/>
    <col min="6404" max="6404" width="6.28515625" bestFit="1" customWidth="1"/>
    <col min="6656" max="6656" width="10.28515625" bestFit="1" customWidth="1"/>
    <col min="6657" max="6657" width="6.28515625" bestFit="1" customWidth="1"/>
    <col min="6658" max="6658" width="28.5703125" bestFit="1" customWidth="1"/>
    <col min="6659" max="6659" width="6.7109375" bestFit="1" customWidth="1"/>
    <col min="6660" max="6660" width="6.28515625" bestFit="1" customWidth="1"/>
    <col min="6912" max="6912" width="10.28515625" bestFit="1" customWidth="1"/>
    <col min="6913" max="6913" width="6.28515625" bestFit="1" customWidth="1"/>
    <col min="6914" max="6914" width="28.5703125" bestFit="1" customWidth="1"/>
    <col min="6915" max="6915" width="6.7109375" bestFit="1" customWidth="1"/>
    <col min="6916" max="6916" width="6.28515625" bestFit="1" customWidth="1"/>
    <col min="7168" max="7168" width="10.28515625" bestFit="1" customWidth="1"/>
    <col min="7169" max="7169" width="6.28515625" bestFit="1" customWidth="1"/>
    <col min="7170" max="7170" width="28.5703125" bestFit="1" customWidth="1"/>
    <col min="7171" max="7171" width="6.7109375" bestFit="1" customWidth="1"/>
    <col min="7172" max="7172" width="6.28515625" bestFit="1" customWidth="1"/>
    <col min="7424" max="7424" width="10.28515625" bestFit="1" customWidth="1"/>
    <col min="7425" max="7425" width="6.28515625" bestFit="1" customWidth="1"/>
    <col min="7426" max="7426" width="28.5703125" bestFit="1" customWidth="1"/>
    <col min="7427" max="7427" width="6.7109375" bestFit="1" customWidth="1"/>
    <col min="7428" max="7428" width="6.28515625" bestFit="1" customWidth="1"/>
    <col min="7680" max="7680" width="10.28515625" bestFit="1" customWidth="1"/>
    <col min="7681" max="7681" width="6.28515625" bestFit="1" customWidth="1"/>
    <col min="7682" max="7682" width="28.5703125" bestFit="1" customWidth="1"/>
    <col min="7683" max="7683" width="6.7109375" bestFit="1" customWidth="1"/>
    <col min="7684" max="7684" width="6.28515625" bestFit="1" customWidth="1"/>
    <col min="7936" max="7936" width="10.28515625" bestFit="1" customWidth="1"/>
    <col min="7937" max="7937" width="6.28515625" bestFit="1" customWidth="1"/>
    <col min="7938" max="7938" width="28.5703125" bestFit="1" customWidth="1"/>
    <col min="7939" max="7939" width="6.7109375" bestFit="1" customWidth="1"/>
    <col min="7940" max="7940" width="6.28515625" bestFit="1" customWidth="1"/>
    <col min="8192" max="8192" width="10.28515625" bestFit="1" customWidth="1"/>
    <col min="8193" max="8193" width="6.28515625" bestFit="1" customWidth="1"/>
    <col min="8194" max="8194" width="28.5703125" bestFit="1" customWidth="1"/>
    <col min="8195" max="8195" width="6.7109375" bestFit="1" customWidth="1"/>
    <col min="8196" max="8196" width="6.28515625" bestFit="1" customWidth="1"/>
    <col min="8448" max="8448" width="10.28515625" bestFit="1" customWidth="1"/>
    <col min="8449" max="8449" width="6.28515625" bestFit="1" customWidth="1"/>
    <col min="8450" max="8450" width="28.5703125" bestFit="1" customWidth="1"/>
    <col min="8451" max="8451" width="6.7109375" bestFit="1" customWidth="1"/>
    <col min="8452" max="8452" width="6.28515625" bestFit="1" customWidth="1"/>
    <col min="8704" max="8704" width="10.28515625" bestFit="1" customWidth="1"/>
    <col min="8705" max="8705" width="6.28515625" bestFit="1" customWidth="1"/>
    <col min="8706" max="8706" width="28.5703125" bestFit="1" customWidth="1"/>
    <col min="8707" max="8707" width="6.7109375" bestFit="1" customWidth="1"/>
    <col min="8708" max="8708" width="6.28515625" bestFit="1" customWidth="1"/>
    <col min="8960" max="8960" width="10.28515625" bestFit="1" customWidth="1"/>
    <col min="8961" max="8961" width="6.28515625" bestFit="1" customWidth="1"/>
    <col min="8962" max="8962" width="28.5703125" bestFit="1" customWidth="1"/>
    <col min="8963" max="8963" width="6.7109375" bestFit="1" customWidth="1"/>
    <col min="8964" max="8964" width="6.28515625" bestFit="1" customWidth="1"/>
    <col min="9216" max="9216" width="10.28515625" bestFit="1" customWidth="1"/>
    <col min="9217" max="9217" width="6.28515625" bestFit="1" customWidth="1"/>
    <col min="9218" max="9218" width="28.5703125" bestFit="1" customWidth="1"/>
    <col min="9219" max="9219" width="6.7109375" bestFit="1" customWidth="1"/>
    <col min="9220" max="9220" width="6.28515625" bestFit="1" customWidth="1"/>
    <col min="9472" max="9472" width="10.28515625" bestFit="1" customWidth="1"/>
    <col min="9473" max="9473" width="6.28515625" bestFit="1" customWidth="1"/>
    <col min="9474" max="9474" width="28.5703125" bestFit="1" customWidth="1"/>
    <col min="9475" max="9475" width="6.7109375" bestFit="1" customWidth="1"/>
    <col min="9476" max="9476" width="6.28515625" bestFit="1" customWidth="1"/>
    <col min="9728" max="9728" width="10.28515625" bestFit="1" customWidth="1"/>
    <col min="9729" max="9729" width="6.28515625" bestFit="1" customWidth="1"/>
    <col min="9730" max="9730" width="28.5703125" bestFit="1" customWidth="1"/>
    <col min="9731" max="9731" width="6.7109375" bestFit="1" customWidth="1"/>
    <col min="9732" max="9732" width="6.28515625" bestFit="1" customWidth="1"/>
    <col min="9984" max="9984" width="10.28515625" bestFit="1" customWidth="1"/>
    <col min="9985" max="9985" width="6.28515625" bestFit="1" customWidth="1"/>
    <col min="9986" max="9986" width="28.5703125" bestFit="1" customWidth="1"/>
    <col min="9987" max="9987" width="6.7109375" bestFit="1" customWidth="1"/>
    <col min="9988" max="9988" width="6.28515625" bestFit="1" customWidth="1"/>
    <col min="10240" max="10240" width="10.28515625" bestFit="1" customWidth="1"/>
    <col min="10241" max="10241" width="6.28515625" bestFit="1" customWidth="1"/>
    <col min="10242" max="10242" width="28.5703125" bestFit="1" customWidth="1"/>
    <col min="10243" max="10243" width="6.7109375" bestFit="1" customWidth="1"/>
    <col min="10244" max="10244" width="6.28515625" bestFit="1" customWidth="1"/>
    <col min="10496" max="10496" width="10.28515625" bestFit="1" customWidth="1"/>
    <col min="10497" max="10497" width="6.28515625" bestFit="1" customWidth="1"/>
    <col min="10498" max="10498" width="28.5703125" bestFit="1" customWidth="1"/>
    <col min="10499" max="10499" width="6.7109375" bestFit="1" customWidth="1"/>
    <col min="10500" max="10500" width="6.28515625" bestFit="1" customWidth="1"/>
    <col min="10752" max="10752" width="10.28515625" bestFit="1" customWidth="1"/>
    <col min="10753" max="10753" width="6.28515625" bestFit="1" customWidth="1"/>
    <col min="10754" max="10754" width="28.5703125" bestFit="1" customWidth="1"/>
    <col min="10755" max="10755" width="6.7109375" bestFit="1" customWidth="1"/>
    <col min="10756" max="10756" width="6.28515625" bestFit="1" customWidth="1"/>
    <col min="11008" max="11008" width="10.28515625" bestFit="1" customWidth="1"/>
    <col min="11009" max="11009" width="6.28515625" bestFit="1" customWidth="1"/>
    <col min="11010" max="11010" width="28.5703125" bestFit="1" customWidth="1"/>
    <col min="11011" max="11011" width="6.7109375" bestFit="1" customWidth="1"/>
    <col min="11012" max="11012" width="6.28515625" bestFit="1" customWidth="1"/>
    <col min="11264" max="11264" width="10.28515625" bestFit="1" customWidth="1"/>
    <col min="11265" max="11265" width="6.28515625" bestFit="1" customWidth="1"/>
    <col min="11266" max="11266" width="28.5703125" bestFit="1" customWidth="1"/>
    <col min="11267" max="11267" width="6.7109375" bestFit="1" customWidth="1"/>
    <col min="11268" max="11268" width="6.28515625" bestFit="1" customWidth="1"/>
    <col min="11520" max="11520" width="10.28515625" bestFit="1" customWidth="1"/>
    <col min="11521" max="11521" width="6.28515625" bestFit="1" customWidth="1"/>
    <col min="11522" max="11522" width="28.5703125" bestFit="1" customWidth="1"/>
    <col min="11523" max="11523" width="6.7109375" bestFit="1" customWidth="1"/>
    <col min="11524" max="11524" width="6.28515625" bestFit="1" customWidth="1"/>
    <col min="11776" max="11776" width="10.28515625" bestFit="1" customWidth="1"/>
    <col min="11777" max="11777" width="6.28515625" bestFit="1" customWidth="1"/>
    <col min="11778" max="11778" width="28.5703125" bestFit="1" customWidth="1"/>
    <col min="11779" max="11779" width="6.7109375" bestFit="1" customWidth="1"/>
    <col min="11780" max="11780" width="6.28515625" bestFit="1" customWidth="1"/>
    <col min="12032" max="12032" width="10.28515625" bestFit="1" customWidth="1"/>
    <col min="12033" max="12033" width="6.28515625" bestFit="1" customWidth="1"/>
    <col min="12034" max="12034" width="28.5703125" bestFit="1" customWidth="1"/>
    <col min="12035" max="12035" width="6.7109375" bestFit="1" customWidth="1"/>
    <col min="12036" max="12036" width="6.28515625" bestFit="1" customWidth="1"/>
    <col min="12288" max="12288" width="10.28515625" bestFit="1" customWidth="1"/>
    <col min="12289" max="12289" width="6.28515625" bestFit="1" customWidth="1"/>
    <col min="12290" max="12290" width="28.5703125" bestFit="1" customWidth="1"/>
    <col min="12291" max="12291" width="6.7109375" bestFit="1" customWidth="1"/>
    <col min="12292" max="12292" width="6.28515625" bestFit="1" customWidth="1"/>
    <col min="12544" max="12544" width="10.28515625" bestFit="1" customWidth="1"/>
    <col min="12545" max="12545" width="6.28515625" bestFit="1" customWidth="1"/>
    <col min="12546" max="12546" width="28.5703125" bestFit="1" customWidth="1"/>
    <col min="12547" max="12547" width="6.7109375" bestFit="1" customWidth="1"/>
    <col min="12548" max="12548" width="6.28515625" bestFit="1" customWidth="1"/>
    <col min="12800" max="12800" width="10.28515625" bestFit="1" customWidth="1"/>
    <col min="12801" max="12801" width="6.28515625" bestFit="1" customWidth="1"/>
    <col min="12802" max="12802" width="28.5703125" bestFit="1" customWidth="1"/>
    <col min="12803" max="12803" width="6.7109375" bestFit="1" customWidth="1"/>
    <col min="12804" max="12804" width="6.28515625" bestFit="1" customWidth="1"/>
    <col min="13056" max="13056" width="10.28515625" bestFit="1" customWidth="1"/>
    <col min="13057" max="13057" width="6.28515625" bestFit="1" customWidth="1"/>
    <col min="13058" max="13058" width="28.5703125" bestFit="1" customWidth="1"/>
    <col min="13059" max="13059" width="6.7109375" bestFit="1" customWidth="1"/>
    <col min="13060" max="13060" width="6.28515625" bestFit="1" customWidth="1"/>
    <col min="13312" max="13312" width="10.28515625" bestFit="1" customWidth="1"/>
    <col min="13313" max="13313" width="6.28515625" bestFit="1" customWidth="1"/>
    <col min="13314" max="13314" width="28.5703125" bestFit="1" customWidth="1"/>
    <col min="13315" max="13315" width="6.7109375" bestFit="1" customWidth="1"/>
    <col min="13316" max="13316" width="6.28515625" bestFit="1" customWidth="1"/>
    <col min="13568" max="13568" width="10.28515625" bestFit="1" customWidth="1"/>
    <col min="13569" max="13569" width="6.28515625" bestFit="1" customWidth="1"/>
    <col min="13570" max="13570" width="28.5703125" bestFit="1" customWidth="1"/>
    <col min="13571" max="13571" width="6.7109375" bestFit="1" customWidth="1"/>
    <col min="13572" max="13572" width="6.28515625" bestFit="1" customWidth="1"/>
    <col min="13824" max="13824" width="10.28515625" bestFit="1" customWidth="1"/>
    <col min="13825" max="13825" width="6.28515625" bestFit="1" customWidth="1"/>
    <col min="13826" max="13826" width="28.5703125" bestFit="1" customWidth="1"/>
    <col min="13827" max="13827" width="6.7109375" bestFit="1" customWidth="1"/>
    <col min="13828" max="13828" width="6.28515625" bestFit="1" customWidth="1"/>
    <col min="14080" max="14080" width="10.28515625" bestFit="1" customWidth="1"/>
    <col min="14081" max="14081" width="6.28515625" bestFit="1" customWidth="1"/>
    <col min="14082" max="14082" width="28.5703125" bestFit="1" customWidth="1"/>
    <col min="14083" max="14083" width="6.7109375" bestFit="1" customWidth="1"/>
    <col min="14084" max="14084" width="6.28515625" bestFit="1" customWidth="1"/>
    <col min="14336" max="14336" width="10.28515625" bestFit="1" customWidth="1"/>
    <col min="14337" max="14337" width="6.28515625" bestFit="1" customWidth="1"/>
    <col min="14338" max="14338" width="28.5703125" bestFit="1" customWidth="1"/>
    <col min="14339" max="14339" width="6.7109375" bestFit="1" customWidth="1"/>
    <col min="14340" max="14340" width="6.28515625" bestFit="1" customWidth="1"/>
    <col min="14592" max="14592" width="10.28515625" bestFit="1" customWidth="1"/>
    <col min="14593" max="14593" width="6.28515625" bestFit="1" customWidth="1"/>
    <col min="14594" max="14594" width="28.5703125" bestFit="1" customWidth="1"/>
    <col min="14595" max="14595" width="6.7109375" bestFit="1" customWidth="1"/>
    <col min="14596" max="14596" width="6.28515625" bestFit="1" customWidth="1"/>
    <col min="14848" max="14848" width="10.28515625" bestFit="1" customWidth="1"/>
    <col min="14849" max="14849" width="6.28515625" bestFit="1" customWidth="1"/>
    <col min="14850" max="14850" width="28.5703125" bestFit="1" customWidth="1"/>
    <col min="14851" max="14851" width="6.7109375" bestFit="1" customWidth="1"/>
    <col min="14852" max="14852" width="6.28515625" bestFit="1" customWidth="1"/>
    <col min="15104" max="15104" width="10.28515625" bestFit="1" customWidth="1"/>
    <col min="15105" max="15105" width="6.28515625" bestFit="1" customWidth="1"/>
    <col min="15106" max="15106" width="28.5703125" bestFit="1" customWidth="1"/>
    <col min="15107" max="15107" width="6.7109375" bestFit="1" customWidth="1"/>
    <col min="15108" max="15108" width="6.28515625" bestFit="1" customWidth="1"/>
    <col min="15360" max="15360" width="10.28515625" bestFit="1" customWidth="1"/>
    <col min="15361" max="15361" width="6.28515625" bestFit="1" customWidth="1"/>
    <col min="15362" max="15362" width="28.5703125" bestFit="1" customWidth="1"/>
    <col min="15363" max="15363" width="6.7109375" bestFit="1" customWidth="1"/>
    <col min="15364" max="15364" width="6.28515625" bestFit="1" customWidth="1"/>
    <col min="15616" max="15616" width="10.28515625" bestFit="1" customWidth="1"/>
    <col min="15617" max="15617" width="6.28515625" bestFit="1" customWidth="1"/>
    <col min="15618" max="15618" width="28.5703125" bestFit="1" customWidth="1"/>
    <col min="15619" max="15619" width="6.7109375" bestFit="1" customWidth="1"/>
    <col min="15620" max="15620" width="6.28515625" bestFit="1" customWidth="1"/>
    <col min="15872" max="15872" width="10.28515625" bestFit="1" customWidth="1"/>
    <col min="15873" max="15873" width="6.28515625" bestFit="1" customWidth="1"/>
    <col min="15874" max="15874" width="28.5703125" bestFit="1" customWidth="1"/>
    <col min="15875" max="15875" width="6.7109375" bestFit="1" customWidth="1"/>
    <col min="15876" max="15876" width="6.28515625" bestFit="1" customWidth="1"/>
    <col min="16128" max="16128" width="10.28515625" bestFit="1" customWidth="1"/>
    <col min="16129" max="16129" width="6.28515625" bestFit="1" customWidth="1"/>
    <col min="16130" max="16130" width="28.5703125" bestFit="1" customWidth="1"/>
    <col min="16131" max="16131" width="6.7109375" bestFit="1" customWidth="1"/>
    <col min="16132" max="16132" width="6.28515625" bestFit="1" customWidth="1"/>
  </cols>
  <sheetData>
    <row r="1" spans="1:4" ht="26.25" x14ac:dyDescent="0.25">
      <c r="A1" s="130" t="s">
        <v>304</v>
      </c>
      <c r="B1" s="119" t="s">
        <v>189</v>
      </c>
      <c r="C1" s="120" t="s">
        <v>190</v>
      </c>
      <c r="D1" s="119" t="s">
        <v>191</v>
      </c>
    </row>
    <row r="2" spans="1:4" ht="13.5" thickBot="1" x14ac:dyDescent="0.25">
      <c r="A2" s="151" t="s">
        <v>297</v>
      </c>
      <c r="B2" s="151"/>
      <c r="C2" s="151"/>
      <c r="D2" s="121"/>
    </row>
    <row r="3" spans="1:4" x14ac:dyDescent="0.2">
      <c r="A3" s="122" t="s">
        <v>16</v>
      </c>
      <c r="B3" s="123" t="s">
        <v>193</v>
      </c>
      <c r="C3" s="122" t="s">
        <v>194</v>
      </c>
      <c r="D3" s="124">
        <v>60222</v>
      </c>
    </row>
    <row r="4" spans="1:4" x14ac:dyDescent="0.2">
      <c r="A4" s="122" t="s">
        <v>16</v>
      </c>
      <c r="B4" s="125">
        <v>60025</v>
      </c>
      <c r="C4" s="126" t="s">
        <v>195</v>
      </c>
      <c r="D4" s="124">
        <v>60225</v>
      </c>
    </row>
    <row r="5" spans="1:4" x14ac:dyDescent="0.2">
      <c r="A5" s="122" t="s">
        <v>16</v>
      </c>
      <c r="B5" s="123" t="s">
        <v>196</v>
      </c>
      <c r="C5" s="122" t="s">
        <v>197</v>
      </c>
      <c r="D5" s="124">
        <v>60226</v>
      </c>
    </row>
    <row r="6" spans="1:4" x14ac:dyDescent="0.2">
      <c r="A6" s="122" t="s">
        <v>16</v>
      </c>
      <c r="B6" s="123" t="s">
        <v>198</v>
      </c>
      <c r="C6" s="122" t="s">
        <v>199</v>
      </c>
      <c r="D6" s="124">
        <v>60233</v>
      </c>
    </row>
    <row r="7" spans="1:4" x14ac:dyDescent="0.2">
      <c r="A7" s="122" t="s">
        <v>16</v>
      </c>
      <c r="B7" s="125">
        <v>60035</v>
      </c>
      <c r="C7" s="126" t="s">
        <v>200</v>
      </c>
      <c r="D7" s="124">
        <v>60235</v>
      </c>
    </row>
    <row r="8" spans="1:4" x14ac:dyDescent="0.2">
      <c r="A8" s="122" t="s">
        <v>16</v>
      </c>
      <c r="B8" s="123" t="s">
        <v>201</v>
      </c>
      <c r="C8" s="122" t="s">
        <v>202</v>
      </c>
      <c r="D8" s="124">
        <v>60236</v>
      </c>
    </row>
    <row r="9" spans="1:4" x14ac:dyDescent="0.2">
      <c r="A9" s="122" t="s">
        <v>18</v>
      </c>
      <c r="B9" s="123" t="s">
        <v>203</v>
      </c>
      <c r="C9" s="122" t="s">
        <v>204</v>
      </c>
      <c r="D9" s="124">
        <v>60244</v>
      </c>
    </row>
    <row r="10" spans="1:4" x14ac:dyDescent="0.2">
      <c r="A10" s="122" t="s">
        <v>18</v>
      </c>
      <c r="B10" s="123" t="s">
        <v>205</v>
      </c>
      <c r="C10" s="122" t="s">
        <v>206</v>
      </c>
      <c r="D10" s="124">
        <v>60245</v>
      </c>
    </row>
    <row r="11" spans="1:4" x14ac:dyDescent="0.2">
      <c r="A11" s="122" t="s">
        <v>18</v>
      </c>
      <c r="B11" s="123" t="s">
        <v>207</v>
      </c>
      <c r="C11" s="122" t="s">
        <v>208</v>
      </c>
      <c r="D11" s="124">
        <v>60246</v>
      </c>
    </row>
    <row r="12" spans="1:4" x14ac:dyDescent="0.2">
      <c r="A12" s="122" t="s">
        <v>22</v>
      </c>
      <c r="B12" s="123" t="s">
        <v>209</v>
      </c>
      <c r="C12" s="122" t="s">
        <v>210</v>
      </c>
      <c r="D12" s="124">
        <v>60247</v>
      </c>
    </row>
    <row r="13" spans="1:4" x14ac:dyDescent="0.2">
      <c r="A13" s="122" t="s">
        <v>20</v>
      </c>
      <c r="B13" s="123" t="s">
        <v>211</v>
      </c>
      <c r="C13" s="122" t="s">
        <v>212</v>
      </c>
      <c r="D13" s="124">
        <v>60255</v>
      </c>
    </row>
    <row r="14" spans="1:4" x14ac:dyDescent="0.2">
      <c r="A14" s="122" t="s">
        <v>22</v>
      </c>
      <c r="B14" s="123" t="s">
        <v>213</v>
      </c>
      <c r="C14" s="122" t="s">
        <v>214</v>
      </c>
      <c r="D14" s="124">
        <v>60257</v>
      </c>
    </row>
    <row r="15" spans="1:4" x14ac:dyDescent="0.2">
      <c r="A15" s="127" t="s">
        <v>215</v>
      </c>
      <c r="B15" s="123" t="s">
        <v>216</v>
      </c>
      <c r="C15" s="122" t="s">
        <v>217</v>
      </c>
      <c r="D15" s="124">
        <v>60261</v>
      </c>
    </row>
    <row r="16" spans="1:4" x14ac:dyDescent="0.2">
      <c r="A16" s="127" t="s">
        <v>218</v>
      </c>
      <c r="B16" s="123" t="s">
        <v>219</v>
      </c>
      <c r="C16" s="122" t="s">
        <v>220</v>
      </c>
      <c r="D16" s="124">
        <v>60262</v>
      </c>
    </row>
    <row r="17" spans="1:4" x14ac:dyDescent="0.2">
      <c r="A17" s="127" t="s">
        <v>221</v>
      </c>
      <c r="B17" s="123" t="s">
        <v>222</v>
      </c>
      <c r="C17" s="122" t="s">
        <v>223</v>
      </c>
      <c r="D17" s="124">
        <v>60263</v>
      </c>
    </row>
    <row r="18" spans="1:4" x14ac:dyDescent="0.2">
      <c r="A18" s="127" t="s">
        <v>224</v>
      </c>
      <c r="B18" s="123" t="s">
        <v>225</v>
      </c>
      <c r="C18" s="122" t="s">
        <v>226</v>
      </c>
      <c r="D18" s="124">
        <v>60264</v>
      </c>
    </row>
    <row r="19" spans="1:4" x14ac:dyDescent="0.2">
      <c r="A19" s="127" t="s">
        <v>227</v>
      </c>
      <c r="B19" s="123" t="s">
        <v>228</v>
      </c>
      <c r="C19" s="122" t="s">
        <v>229</v>
      </c>
      <c r="D19" s="124">
        <v>60265</v>
      </c>
    </row>
    <row r="20" spans="1:4" x14ac:dyDescent="0.2">
      <c r="A20" s="127" t="s">
        <v>230</v>
      </c>
      <c r="B20" s="123" t="s">
        <v>231</v>
      </c>
      <c r="C20" s="122" t="s">
        <v>232</v>
      </c>
      <c r="D20" s="124">
        <v>60266</v>
      </c>
    </row>
    <row r="21" spans="1:4" x14ac:dyDescent="0.2">
      <c r="A21" s="127" t="s">
        <v>233</v>
      </c>
      <c r="B21" s="123" t="s">
        <v>234</v>
      </c>
      <c r="C21" s="122" t="s">
        <v>235</v>
      </c>
      <c r="D21" s="124">
        <v>60267</v>
      </c>
    </row>
    <row r="22" spans="1:4" ht="15" x14ac:dyDescent="0.3">
      <c r="A22" s="122" t="s">
        <v>22</v>
      </c>
      <c r="B22" s="123" t="s">
        <v>236</v>
      </c>
      <c r="C22" s="128" t="s">
        <v>237</v>
      </c>
      <c r="D22" s="124">
        <v>60271</v>
      </c>
    </row>
    <row r="23" spans="1:4" ht="15" x14ac:dyDescent="0.3">
      <c r="A23" s="122" t="s">
        <v>16</v>
      </c>
      <c r="B23" s="123" t="s">
        <v>238</v>
      </c>
      <c r="C23" s="128" t="s">
        <v>239</v>
      </c>
      <c r="D23" s="124">
        <v>60272</v>
      </c>
    </row>
    <row r="24" spans="1:4" x14ac:dyDescent="0.2">
      <c r="A24" s="122" t="s">
        <v>16</v>
      </c>
      <c r="B24" s="123" t="s">
        <v>240</v>
      </c>
      <c r="C24" s="122" t="s">
        <v>241</v>
      </c>
      <c r="D24" s="124">
        <v>60273</v>
      </c>
    </row>
    <row r="25" spans="1:4" x14ac:dyDescent="0.2">
      <c r="A25" s="122" t="s">
        <v>22</v>
      </c>
      <c r="B25" s="123" t="s">
        <v>242</v>
      </c>
      <c r="C25" s="122" t="s">
        <v>243</v>
      </c>
      <c r="D25" s="124">
        <v>60274</v>
      </c>
    </row>
    <row r="26" spans="1:4" x14ac:dyDescent="0.2">
      <c r="A26" s="122" t="s">
        <v>22</v>
      </c>
      <c r="B26" s="123" t="s">
        <v>244</v>
      </c>
      <c r="C26" s="122" t="s">
        <v>245</v>
      </c>
      <c r="D26" s="124">
        <v>60275</v>
      </c>
    </row>
    <row r="27" spans="1:4" x14ac:dyDescent="0.2">
      <c r="A27" s="122" t="s">
        <v>22</v>
      </c>
      <c r="B27" s="123" t="s">
        <v>246</v>
      </c>
      <c r="C27" s="122" t="s">
        <v>247</v>
      </c>
      <c r="D27" s="124">
        <v>60281</v>
      </c>
    </row>
    <row r="28" spans="1:4" x14ac:dyDescent="0.2">
      <c r="A28" s="122" t="s">
        <v>18</v>
      </c>
      <c r="B28" s="123" t="s">
        <v>248</v>
      </c>
      <c r="C28" s="122" t="s">
        <v>249</v>
      </c>
      <c r="D28" s="124">
        <v>60282</v>
      </c>
    </row>
    <row r="29" spans="1:4" x14ac:dyDescent="0.2">
      <c r="A29" s="122" t="s">
        <v>22</v>
      </c>
      <c r="B29" s="123" t="s">
        <v>250</v>
      </c>
      <c r="C29" s="122" t="s">
        <v>251</v>
      </c>
      <c r="D29" s="124">
        <v>60283</v>
      </c>
    </row>
    <row r="30" spans="1:4" x14ac:dyDescent="0.2">
      <c r="A30" s="122" t="s">
        <v>28</v>
      </c>
      <c r="B30" s="123" t="s">
        <v>252</v>
      </c>
      <c r="C30" s="122" t="s">
        <v>253</v>
      </c>
      <c r="D30" s="124">
        <v>60291</v>
      </c>
    </row>
    <row r="31" spans="1:4" x14ac:dyDescent="0.2">
      <c r="A31" s="122" t="s">
        <v>28</v>
      </c>
      <c r="B31" s="123" t="s">
        <v>254</v>
      </c>
      <c r="C31" s="122" t="s">
        <v>255</v>
      </c>
      <c r="D31" s="124">
        <v>60292</v>
      </c>
    </row>
    <row r="32" spans="1:4" x14ac:dyDescent="0.2">
      <c r="A32" s="122" t="s">
        <v>28</v>
      </c>
      <c r="B32" s="123" t="s">
        <v>256</v>
      </c>
      <c r="C32" s="122" t="s">
        <v>257</v>
      </c>
      <c r="D32" s="124">
        <v>60293</v>
      </c>
    </row>
    <row r="33" spans="1:4" x14ac:dyDescent="0.2">
      <c r="A33" s="122" t="s">
        <v>16</v>
      </c>
      <c r="B33" s="125">
        <v>60101</v>
      </c>
      <c r="C33" s="126" t="s">
        <v>258</v>
      </c>
      <c r="D33" s="124">
        <v>60301</v>
      </c>
    </row>
    <row r="34" spans="1:4" x14ac:dyDescent="0.2">
      <c r="A34" s="122" t="s">
        <v>16</v>
      </c>
      <c r="B34" s="125">
        <v>60102</v>
      </c>
      <c r="C34" s="126" t="s">
        <v>259</v>
      </c>
      <c r="D34" s="124">
        <v>60302</v>
      </c>
    </row>
    <row r="35" spans="1:4" x14ac:dyDescent="0.2">
      <c r="A35" s="122" t="s">
        <v>18</v>
      </c>
      <c r="B35" s="125">
        <v>60103</v>
      </c>
      <c r="C35" s="122" t="s">
        <v>260</v>
      </c>
      <c r="D35" s="124">
        <v>60303</v>
      </c>
    </row>
    <row r="36" spans="1:4" x14ac:dyDescent="0.2">
      <c r="A36" s="122" t="s">
        <v>20</v>
      </c>
      <c r="B36" s="125">
        <v>60104</v>
      </c>
      <c r="C36" s="122" t="s">
        <v>261</v>
      </c>
      <c r="D36" s="124">
        <v>60304</v>
      </c>
    </row>
    <row r="37" spans="1:4" x14ac:dyDescent="0.2">
      <c r="A37" s="122" t="s">
        <v>28</v>
      </c>
      <c r="B37" s="131">
        <v>60105</v>
      </c>
      <c r="C37" s="132" t="s">
        <v>262</v>
      </c>
      <c r="D37" s="124">
        <v>60305</v>
      </c>
    </row>
    <row r="38" spans="1:4" x14ac:dyDescent="0.2">
      <c r="A38" s="122" t="s">
        <v>24</v>
      </c>
      <c r="B38" s="131">
        <v>60106</v>
      </c>
      <c r="C38" s="132" t="s">
        <v>263</v>
      </c>
      <c r="D38" s="124">
        <v>60306</v>
      </c>
    </row>
    <row r="39" spans="1:4" x14ac:dyDescent="0.2">
      <c r="A39" s="122" t="s">
        <v>16</v>
      </c>
      <c r="B39" s="125">
        <v>60107</v>
      </c>
      <c r="C39" s="126" t="s">
        <v>264</v>
      </c>
      <c r="D39" s="124">
        <v>60307</v>
      </c>
    </row>
    <row r="40" spans="1:4" x14ac:dyDescent="0.2">
      <c r="A40" s="122" t="s">
        <v>22</v>
      </c>
      <c r="B40" s="125">
        <v>60108</v>
      </c>
      <c r="C40" s="122" t="s">
        <v>265</v>
      </c>
      <c r="D40" s="124">
        <v>60308</v>
      </c>
    </row>
    <row r="41" spans="1:4" x14ac:dyDescent="0.2">
      <c r="A41" s="122" t="s">
        <v>26</v>
      </c>
      <c r="B41" s="125">
        <v>60109</v>
      </c>
      <c r="C41" s="122" t="s">
        <v>266</v>
      </c>
      <c r="D41" s="124">
        <v>60309</v>
      </c>
    </row>
    <row r="42" spans="1:4" x14ac:dyDescent="0.2">
      <c r="A42" s="122" t="s">
        <v>24</v>
      </c>
      <c r="B42" s="123" t="s">
        <v>267</v>
      </c>
      <c r="C42" s="122" t="s">
        <v>268</v>
      </c>
      <c r="D42" s="124">
        <v>60311</v>
      </c>
    </row>
    <row r="43" spans="1:4" x14ac:dyDescent="0.2">
      <c r="A43" s="122" t="s">
        <v>24</v>
      </c>
      <c r="B43" s="123" t="s">
        <v>269</v>
      </c>
      <c r="C43" s="122" t="s">
        <v>270</v>
      </c>
      <c r="D43" s="124">
        <v>60312</v>
      </c>
    </row>
    <row r="44" spans="1:4" x14ac:dyDescent="0.2">
      <c r="A44" s="122" t="s">
        <v>24</v>
      </c>
      <c r="B44" s="133" t="s">
        <v>271</v>
      </c>
      <c r="C44" s="132" t="s">
        <v>272</v>
      </c>
      <c r="D44" s="124">
        <v>60313</v>
      </c>
    </row>
    <row r="45" spans="1:4" x14ac:dyDescent="0.2">
      <c r="A45" s="122"/>
      <c r="B45" s="122"/>
      <c r="C45" s="122"/>
      <c r="D45" s="124"/>
    </row>
    <row r="46" spans="1:4" x14ac:dyDescent="0.2">
      <c r="A46" s="122" t="s">
        <v>22</v>
      </c>
      <c r="B46" s="123" t="s">
        <v>274</v>
      </c>
      <c r="C46" s="122" t="s">
        <v>275</v>
      </c>
      <c r="D46" s="124">
        <v>60321</v>
      </c>
    </row>
    <row r="47" spans="1:4" x14ac:dyDescent="0.2">
      <c r="A47" s="122" t="s">
        <v>22</v>
      </c>
      <c r="B47" s="123" t="s">
        <v>276</v>
      </c>
      <c r="C47" s="122" t="s">
        <v>277</v>
      </c>
      <c r="D47" s="124">
        <v>60322</v>
      </c>
    </row>
    <row r="48" spans="1:4" x14ac:dyDescent="0.2">
      <c r="A48" s="122" t="s">
        <v>22</v>
      </c>
      <c r="B48" s="123" t="s">
        <v>278</v>
      </c>
      <c r="C48" s="122" t="s">
        <v>279</v>
      </c>
      <c r="D48" s="124">
        <v>60323</v>
      </c>
    </row>
    <row r="49" spans="1:4" x14ac:dyDescent="0.2">
      <c r="A49" s="122" t="s">
        <v>24</v>
      </c>
      <c r="B49" s="123" t="s">
        <v>280</v>
      </c>
      <c r="C49" s="122" t="s">
        <v>281</v>
      </c>
      <c r="D49" s="124">
        <v>60331</v>
      </c>
    </row>
    <row r="50" spans="1:4" x14ac:dyDescent="0.2">
      <c r="A50" s="122" t="s">
        <v>24</v>
      </c>
      <c r="B50" s="123" t="s">
        <v>282</v>
      </c>
      <c r="C50" s="122" t="s">
        <v>283</v>
      </c>
      <c r="D50" s="124">
        <v>60332</v>
      </c>
    </row>
    <row r="51" spans="1:4" x14ac:dyDescent="0.2">
      <c r="A51" s="122" t="s">
        <v>22</v>
      </c>
      <c r="B51" s="123" t="s">
        <v>284</v>
      </c>
      <c r="C51" s="122" t="s">
        <v>285</v>
      </c>
      <c r="D51" s="124">
        <v>60335</v>
      </c>
    </row>
    <row r="52" spans="1:4" x14ac:dyDescent="0.2">
      <c r="A52" s="122" t="s">
        <v>24</v>
      </c>
      <c r="B52" s="123" t="s">
        <v>298</v>
      </c>
      <c r="C52" s="122" t="s">
        <v>286</v>
      </c>
      <c r="D52" s="124">
        <v>60355</v>
      </c>
    </row>
    <row r="53" spans="1:4" x14ac:dyDescent="0.2">
      <c r="A53" s="122" t="s">
        <v>22</v>
      </c>
      <c r="B53" s="123" t="s">
        <v>287</v>
      </c>
      <c r="C53" s="122" t="s">
        <v>288</v>
      </c>
      <c r="D53" s="124">
        <v>60356</v>
      </c>
    </row>
    <row r="54" spans="1:4" x14ac:dyDescent="0.2">
      <c r="A54" s="122" t="s">
        <v>28</v>
      </c>
      <c r="B54" s="123" t="s">
        <v>299</v>
      </c>
      <c r="C54" s="122" t="s">
        <v>289</v>
      </c>
      <c r="D54" s="124">
        <v>60357</v>
      </c>
    </row>
    <row r="55" spans="1:4" x14ac:dyDescent="0.2">
      <c r="A55" s="122" t="s">
        <v>28</v>
      </c>
      <c r="B55" s="123" t="s">
        <v>290</v>
      </c>
      <c r="C55" s="122" t="s">
        <v>291</v>
      </c>
      <c r="D55" s="124">
        <v>60358</v>
      </c>
    </row>
    <row r="56" spans="1:4" x14ac:dyDescent="0.2">
      <c r="A56" s="122" t="s">
        <v>28</v>
      </c>
      <c r="B56" s="133" t="s">
        <v>300</v>
      </c>
      <c r="C56" s="132" t="s">
        <v>292</v>
      </c>
      <c r="D56" s="124">
        <v>60359</v>
      </c>
    </row>
    <row r="57" spans="1:4" x14ac:dyDescent="0.2">
      <c r="A57" s="122" t="s">
        <v>28</v>
      </c>
      <c r="B57" s="129">
        <v>65202</v>
      </c>
      <c r="C57" s="122" t="s">
        <v>293</v>
      </c>
      <c r="D57" s="124">
        <v>65222</v>
      </c>
    </row>
    <row r="58" spans="1:4" x14ac:dyDescent="0.2">
      <c r="A58" s="122" t="s">
        <v>28</v>
      </c>
      <c r="B58" s="129">
        <v>65203</v>
      </c>
      <c r="C58" s="122" t="s">
        <v>294</v>
      </c>
      <c r="D58" s="124">
        <v>65223</v>
      </c>
    </row>
    <row r="59" spans="1:4" x14ac:dyDescent="0.2">
      <c r="A59" s="122" t="s">
        <v>26</v>
      </c>
      <c r="B59" s="133" t="s">
        <v>295</v>
      </c>
      <c r="C59" s="132" t="s">
        <v>296</v>
      </c>
      <c r="D59" s="124">
        <v>65215</v>
      </c>
    </row>
  </sheetData>
  <mergeCells count="1"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zoomScale="90" workbookViewId="0">
      <pane xSplit="3" ySplit="12" topLeftCell="D13" activePane="bottomRight" state="frozen"/>
      <selection pane="topRight" activeCell="D1" sqref="D1"/>
      <selection pane="bottomLeft" activeCell="A10" sqref="A10"/>
      <selection pane="bottomRight" activeCell="N38" sqref="N38"/>
    </sheetView>
  </sheetViews>
  <sheetFormatPr defaultRowHeight="12.75" x14ac:dyDescent="0.2"/>
  <cols>
    <col min="1" max="1" width="32.5703125" customWidth="1"/>
    <col min="2" max="2" width="10" customWidth="1"/>
    <col min="3" max="3" width="15.85546875" customWidth="1"/>
    <col min="4" max="4" width="13.5703125" customWidth="1"/>
    <col min="5" max="5" width="13.28515625" customWidth="1"/>
    <col min="6" max="6" width="13.5703125" customWidth="1"/>
    <col min="7" max="7" width="13.85546875" customWidth="1"/>
    <col min="8" max="16" width="13.28515625" customWidth="1"/>
    <col min="17" max="17" width="15" customWidth="1"/>
    <col min="19" max="19" width="17" customWidth="1"/>
    <col min="21" max="21" width="18.42578125" customWidth="1"/>
    <col min="22" max="22" width="14.5703125" customWidth="1"/>
  </cols>
  <sheetData>
    <row r="1" spans="1:22" x14ac:dyDescent="0.2">
      <c r="A1" s="1" t="s">
        <v>0</v>
      </c>
    </row>
    <row r="2" spans="1:22" x14ac:dyDescent="0.2">
      <c r="A2" s="1" t="s">
        <v>1</v>
      </c>
    </row>
    <row r="3" spans="1:22" x14ac:dyDescent="0.2">
      <c r="A3" s="1" t="s">
        <v>2</v>
      </c>
    </row>
    <row r="4" spans="1:22" x14ac:dyDescent="0.2">
      <c r="A4" s="1"/>
      <c r="C4" s="2" t="s">
        <v>3</v>
      </c>
      <c r="D4" s="3">
        <f t="shared" ref="D4:I4" si="0">D13/D15</f>
        <v>97311.06815064227</v>
      </c>
      <c r="E4" s="3">
        <f t="shared" si="0"/>
        <v>59773.860701605532</v>
      </c>
      <c r="F4" s="3">
        <f t="shared" si="0"/>
        <v>65178.366209322434</v>
      </c>
      <c r="G4" s="3">
        <f t="shared" si="0"/>
        <v>77386.34927856877</v>
      </c>
      <c r="H4" s="3">
        <f t="shared" si="0"/>
        <v>38309.371494854116</v>
      </c>
      <c r="I4" s="3">
        <f t="shared" si="0"/>
        <v>38037.273532652311</v>
      </c>
    </row>
    <row r="5" spans="1:22" x14ac:dyDescent="0.2">
      <c r="A5" s="1"/>
      <c r="C5" s="2" t="s">
        <v>4</v>
      </c>
      <c r="D5" s="3"/>
      <c r="E5" s="3"/>
      <c r="F5" s="3"/>
      <c r="G5" s="3"/>
      <c r="H5" s="3"/>
      <c r="I5" s="3"/>
      <c r="V5" s="4">
        <f>386/470</f>
        <v>0.82127659574468082</v>
      </c>
    </row>
    <row r="6" spans="1:22" x14ac:dyDescent="0.2">
      <c r="A6" s="1"/>
      <c r="C6" t="s">
        <v>5</v>
      </c>
      <c r="D6" s="5" t="e">
        <f t="shared" ref="D6:I6" si="1">(D4-D5)/D5</f>
        <v>#DIV/0!</v>
      </c>
      <c r="E6" s="5" t="e">
        <f t="shared" si="1"/>
        <v>#DIV/0!</v>
      </c>
      <c r="F6" s="5" t="e">
        <f t="shared" si="1"/>
        <v>#DIV/0!</v>
      </c>
      <c r="G6" s="5" t="e">
        <f t="shared" si="1"/>
        <v>#DIV/0!</v>
      </c>
      <c r="H6" s="5" t="e">
        <f t="shared" si="1"/>
        <v>#DIV/0!</v>
      </c>
      <c r="I6" s="5" t="e">
        <f t="shared" si="1"/>
        <v>#DIV/0!</v>
      </c>
    </row>
    <row r="8" spans="1:22" x14ac:dyDescent="0.2">
      <c r="D8" s="152" t="s">
        <v>6</v>
      </c>
      <c r="E8" s="153"/>
      <c r="F8" s="152" t="s">
        <v>7</v>
      </c>
      <c r="G8" s="153"/>
      <c r="H8" s="152" t="s">
        <v>8</v>
      </c>
      <c r="I8" s="153"/>
      <c r="J8" s="152" t="s">
        <v>9</v>
      </c>
      <c r="K8" s="153"/>
      <c r="L8" s="152" t="s">
        <v>10</v>
      </c>
      <c r="M8" s="153"/>
      <c r="N8" s="152" t="s">
        <v>11</v>
      </c>
      <c r="O8" s="153"/>
      <c r="P8" s="152" t="s">
        <v>12</v>
      </c>
      <c r="Q8" s="153"/>
      <c r="S8" s="6" t="s">
        <v>13</v>
      </c>
    </row>
    <row r="10" spans="1:22" x14ac:dyDescent="0.2"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7" t="s">
        <v>20</v>
      </c>
      <c r="I10" s="7" t="s">
        <v>21</v>
      </c>
      <c r="J10" s="7" t="s">
        <v>22</v>
      </c>
      <c r="K10" s="7" t="s">
        <v>23</v>
      </c>
      <c r="L10" s="7" t="s">
        <v>24</v>
      </c>
      <c r="M10" s="7" t="s">
        <v>25</v>
      </c>
      <c r="N10" s="7" t="s">
        <v>26</v>
      </c>
      <c r="O10" s="7" t="s">
        <v>27</v>
      </c>
      <c r="P10" s="7" t="s">
        <v>28</v>
      </c>
      <c r="Q10" s="7" t="s">
        <v>29</v>
      </c>
    </row>
    <row r="11" spans="1:22" x14ac:dyDescent="0.2">
      <c r="B11" s="8" t="s">
        <v>30</v>
      </c>
      <c r="C11" s="8" t="s">
        <v>31</v>
      </c>
      <c r="D11" s="8" t="s">
        <v>32</v>
      </c>
      <c r="E11" s="8" t="s">
        <v>33</v>
      </c>
      <c r="F11" s="8" t="s">
        <v>32</v>
      </c>
      <c r="G11" s="8" t="s">
        <v>33</v>
      </c>
      <c r="H11" s="8" t="s">
        <v>32</v>
      </c>
      <c r="I11" s="8" t="s">
        <v>33</v>
      </c>
      <c r="J11" s="8" t="s">
        <v>32</v>
      </c>
      <c r="K11" s="8" t="s">
        <v>33</v>
      </c>
      <c r="L11" s="8" t="s">
        <v>32</v>
      </c>
      <c r="M11" s="8" t="s">
        <v>33</v>
      </c>
      <c r="N11" s="8" t="s">
        <v>32</v>
      </c>
      <c r="O11" s="8" t="s">
        <v>33</v>
      </c>
      <c r="P11" s="8" t="s">
        <v>32</v>
      </c>
      <c r="Q11" s="8" t="s">
        <v>33</v>
      </c>
    </row>
    <row r="13" spans="1:22" x14ac:dyDescent="0.2">
      <c r="A13" t="s">
        <v>34</v>
      </c>
      <c r="D13" s="3">
        <f>[2]fy16_salary_projection!B32</f>
        <v>448682351.02739996</v>
      </c>
      <c r="E13" s="3">
        <f>[2]fy16_salary_projection!B46</f>
        <v>40224101.026464015</v>
      </c>
      <c r="F13" s="3">
        <f>[2]fy16_salary_projection!C32</f>
        <v>559319346.97001839</v>
      </c>
      <c r="G13" s="3">
        <f>[2]fy16_salary_projection!C46</f>
        <v>619450343.79199207</v>
      </c>
      <c r="H13" s="3">
        <f>[2]fy16_salary_projection!D32</f>
        <v>112088552.30528384</v>
      </c>
      <c r="I13" s="3">
        <f>[2]fy16_salary_projection!D46</f>
        <v>75668608.302408084</v>
      </c>
      <c r="J13" s="3">
        <f>[2]fy16_salary_projection!E32</f>
        <v>103706400.796344</v>
      </c>
      <c r="K13" s="3">
        <f>[2]fy16_salary_projection!E46</f>
        <v>32294485.771812003</v>
      </c>
      <c r="L13" s="3">
        <f>[2]fy16_salary_projection!F32</f>
        <v>50202869.768459931</v>
      </c>
      <c r="M13" s="3">
        <f>[2]fy16_salary_projection!F46</f>
        <v>3966718.7536920006</v>
      </c>
      <c r="N13" s="3">
        <f>[2]fy16_salary_projection!G32</f>
        <v>1295478.2597040001</v>
      </c>
      <c r="O13" s="3">
        <f>[2]fy16_salary_projection!G46</f>
        <v>0</v>
      </c>
      <c r="P13" s="3">
        <f>[2]fy16_salary_projection!H32</f>
        <v>116828041.09114802</v>
      </c>
      <c r="Q13" s="3">
        <f>[2]fy16_salary_projection!H46</f>
        <v>359606.67548400001</v>
      </c>
      <c r="R13" s="3"/>
      <c r="S13" s="3">
        <f>SUM(D13:R13)</f>
        <v>2164086904.5402107</v>
      </c>
    </row>
    <row r="15" spans="1:22" x14ac:dyDescent="0.2">
      <c r="A15" s="2" t="s">
        <v>35</v>
      </c>
      <c r="D15" s="9">
        <f>[2]FY14_Alloc_Actual_Bnft_Cost!D12</f>
        <v>4610.8049120663009</v>
      </c>
      <c r="E15" s="9">
        <f>[2]FY14_Alloc_Actual_Bnft_Cost!E12</f>
        <v>672.93797914886215</v>
      </c>
      <c r="F15" s="9">
        <f>[2]FY14_Alloc_Actual_Bnft_Cost!F12</f>
        <v>8581.3649451375659</v>
      </c>
      <c r="G15" s="9">
        <f>[2]FY14_Alloc_Actual_Bnft_Cost!G12</f>
        <v>8004.6461626216224</v>
      </c>
      <c r="H15" s="9">
        <f>[2]FY14_Alloc_Actual_Bnft_Cost!H12</f>
        <v>2925.8781319432524</v>
      </c>
      <c r="I15" s="9">
        <f>[2]FY14_Alloc_Actual_Bnft_Cost!I12</f>
        <v>1989.3278690822026</v>
      </c>
      <c r="N15" s="9">
        <f>[2]FY14_Alloc_Actual_Bnft_Cost!N12</f>
        <v>4</v>
      </c>
    </row>
    <row r="16" spans="1:22" x14ac:dyDescent="0.2">
      <c r="U16" t="s">
        <v>36</v>
      </c>
      <c r="V16" s="7" t="s">
        <v>37</v>
      </c>
    </row>
    <row r="18" spans="1:23" x14ac:dyDescent="0.2">
      <c r="A18" t="s">
        <v>38</v>
      </c>
      <c r="B18" s="10" t="s">
        <v>39</v>
      </c>
      <c r="C18" s="11">
        <f>[2]fy16_bnft_proj_by_component!B21</f>
        <v>0.14000000000000001</v>
      </c>
      <c r="D18" s="3">
        <f>D13*C18</f>
        <v>62815529.143835999</v>
      </c>
      <c r="E18" s="3">
        <f>E13*C18</f>
        <v>5631374.1437049629</v>
      </c>
      <c r="F18" s="3"/>
      <c r="G18" s="3"/>
      <c r="H18" s="3"/>
      <c r="I18" s="3"/>
      <c r="J18" s="3">
        <f>J13*C18</f>
        <v>14518896.111488162</v>
      </c>
      <c r="K18" s="3">
        <f>K13*C18</f>
        <v>4521228.0080536809</v>
      </c>
      <c r="L18" s="3"/>
      <c r="M18" s="3"/>
      <c r="N18" s="3"/>
      <c r="O18" s="3"/>
      <c r="P18" s="3"/>
      <c r="Q18" s="3"/>
      <c r="R18" s="3"/>
      <c r="S18" s="12">
        <f>SUM(D18:R18)</f>
        <v>87487027.407082796</v>
      </c>
      <c r="U18" s="3">
        <f>[2]fy16_HR_cost_estimates!C23</f>
        <v>94104709.397136003</v>
      </c>
      <c r="V18" s="12">
        <f>S18-U18</f>
        <v>-6617681.9900532067</v>
      </c>
    </row>
    <row r="19" spans="1:23" x14ac:dyDescent="0.2">
      <c r="A19" t="s">
        <v>40</v>
      </c>
      <c r="B19" s="10" t="s">
        <v>39</v>
      </c>
      <c r="C19" s="11">
        <f>[2]fy16_bnft_proj_by_component!B38</f>
        <v>0.14000000000000001</v>
      </c>
      <c r="D19" s="3"/>
      <c r="E19" s="3"/>
      <c r="F19" s="3">
        <f>F13*C19</f>
        <v>78304708.57580258</v>
      </c>
      <c r="G19" s="3">
        <f>G13*C19</f>
        <v>86723048.130878896</v>
      </c>
      <c r="H19" s="3">
        <f>H13*C19</f>
        <v>15692397.322739739</v>
      </c>
      <c r="I19" s="3">
        <f>I13*C19</f>
        <v>10593605.162337134</v>
      </c>
      <c r="J19" s="3"/>
      <c r="K19" s="3"/>
      <c r="L19" s="3"/>
      <c r="M19" s="3"/>
      <c r="N19" s="3"/>
      <c r="O19" s="3"/>
      <c r="P19" s="3"/>
      <c r="Q19" s="3"/>
      <c r="R19" s="3"/>
      <c r="S19" s="12">
        <f>SUM(D19:R19)</f>
        <v>191313759.19175836</v>
      </c>
      <c r="U19" s="3">
        <f>[2]fy16_HR_cost_estimates!C24</f>
        <v>217756366.50456005</v>
      </c>
      <c r="V19" s="12">
        <f t="shared" ref="V19:V33" si="2">S19-U19</f>
        <v>-26442607.312801689</v>
      </c>
      <c r="W19" t="s">
        <v>41</v>
      </c>
    </row>
    <row r="20" spans="1:23" x14ac:dyDescent="0.2">
      <c r="A20" t="s">
        <v>42</v>
      </c>
      <c r="B20" s="10" t="s">
        <v>39</v>
      </c>
      <c r="C20" s="11">
        <f>[2]fy16_bnft_proj_by_component!B53</f>
        <v>1.4454598404690098E-2</v>
      </c>
      <c r="D20" s="3">
        <f>D13*$C20</f>
        <v>6485523.1953732576</v>
      </c>
      <c r="E20" s="3">
        <f t="shared" ref="E20:K20" si="3">E13*$C20</f>
        <v>581423.2265272201</v>
      </c>
      <c r="F20" s="3">
        <f t="shared" si="3"/>
        <v>8084736.5404251348</v>
      </c>
      <c r="G20" s="3">
        <f t="shared" si="3"/>
        <v>8953905.9511604607</v>
      </c>
      <c r="H20" s="3">
        <f t="shared" si="3"/>
        <v>1620195.0093359784</v>
      </c>
      <c r="I20" s="3">
        <f t="shared" si="3"/>
        <v>1093759.3448531078</v>
      </c>
      <c r="J20" s="3">
        <f t="shared" si="3"/>
        <v>1499034.3755069859</v>
      </c>
      <c r="K20" s="3">
        <f t="shared" si="3"/>
        <v>466803.82251752086</v>
      </c>
      <c r="L20" s="3"/>
      <c r="M20" s="3"/>
      <c r="N20" s="3"/>
      <c r="O20" s="3"/>
      <c r="P20" s="3"/>
      <c r="Q20" s="3"/>
      <c r="R20" s="3"/>
      <c r="S20" s="12">
        <f t="shared" ref="S20:S33" si="4">SUM(D20:R20)</f>
        <v>28785381.465699665</v>
      </c>
      <c r="U20" s="3">
        <f>[2]fy16_HR_cost_estimates!C25</f>
        <v>31690316.658816002</v>
      </c>
      <c r="V20" s="12">
        <f t="shared" si="2"/>
        <v>-2904935.1931163371</v>
      </c>
    </row>
    <row r="21" spans="1:23" x14ac:dyDescent="0.2">
      <c r="A21" t="s">
        <v>43</v>
      </c>
      <c r="B21" s="10" t="s">
        <v>39</v>
      </c>
      <c r="C21" s="11">
        <f>[2]fy16_bnft_proj_by_component!B69</f>
        <v>3.2897311375371923E-3</v>
      </c>
      <c r="D21" s="3">
        <f t="shared" ref="D21:I21" si="5">D13*$C21</f>
        <v>1476044.3010382303</v>
      </c>
      <c r="E21" s="3">
        <f t="shared" si="5"/>
        <v>132326.47762620042</v>
      </c>
      <c r="F21" s="3">
        <f t="shared" si="5"/>
        <v>1840010.2715542382</v>
      </c>
      <c r="G21" s="3">
        <f t="shared" si="5"/>
        <v>2037825.084130635</v>
      </c>
      <c r="H21" s="3">
        <f t="shared" si="5"/>
        <v>368741.20068015851</v>
      </c>
      <c r="I21" s="3">
        <f t="shared" si="5"/>
        <v>248929.37686653718</v>
      </c>
      <c r="J21" s="3"/>
      <c r="K21" s="3"/>
      <c r="L21" s="3"/>
      <c r="M21" s="3"/>
      <c r="N21" s="3"/>
      <c r="O21" s="3"/>
      <c r="P21" s="3"/>
      <c r="Q21" s="3"/>
      <c r="R21" s="3"/>
      <c r="S21" s="12">
        <f t="shared" si="4"/>
        <v>6103876.7118959986</v>
      </c>
      <c r="U21" s="3">
        <f>[2]fy16_HR_cost_estimates!C28</f>
        <v>6103876.7118960014</v>
      </c>
      <c r="V21" s="12">
        <f t="shared" si="2"/>
        <v>0</v>
      </c>
    </row>
    <row r="22" spans="1:23" x14ac:dyDescent="0.2">
      <c r="A22" t="s">
        <v>44</v>
      </c>
      <c r="B22" s="10" t="s">
        <v>39</v>
      </c>
      <c r="C22" s="11">
        <f>[2]fy16_bnft_proj_by_component!B85</f>
        <v>3.1379021181846055E-3</v>
      </c>
      <c r="D22" s="3">
        <f t="shared" ref="D22:I22" si="6">D13*$C22</f>
        <v>1407921.2996809271</v>
      </c>
      <c r="E22" s="3">
        <f t="shared" si="6"/>
        <v>126219.291813013</v>
      </c>
      <c r="F22" s="3">
        <f t="shared" si="6"/>
        <v>1755089.363598851</v>
      </c>
      <c r="G22" s="3">
        <f t="shared" si="6"/>
        <v>1943774.545895074</v>
      </c>
      <c r="H22" s="3">
        <f t="shared" si="6"/>
        <v>351722.90570299613</v>
      </c>
      <c r="I22" s="3">
        <f t="shared" si="6"/>
        <v>237440.68627220756</v>
      </c>
      <c r="J22" s="3"/>
      <c r="K22" s="3"/>
      <c r="L22" s="3"/>
      <c r="M22" s="3"/>
      <c r="N22" s="3"/>
      <c r="O22" s="3"/>
      <c r="P22" s="3"/>
      <c r="Q22" s="3"/>
      <c r="R22" s="3"/>
      <c r="S22" s="12">
        <f t="shared" si="4"/>
        <v>5822168.0929630687</v>
      </c>
      <c r="U22" s="3">
        <f>[2]fy16_HR_cost_estimates!C29</f>
        <v>5869919.9999999991</v>
      </c>
      <c r="V22" s="12">
        <f t="shared" si="2"/>
        <v>-47751.907036930323</v>
      </c>
    </row>
    <row r="23" spans="1:23" x14ac:dyDescent="0.2">
      <c r="A23" t="s">
        <v>45</v>
      </c>
      <c r="B23" s="10" t="s">
        <v>39</v>
      </c>
      <c r="C23" s="11">
        <f>[2]fy16_bnft_proj_by_component!B101</f>
        <v>8.6536712579347809E-4</v>
      </c>
      <c r="D23" s="3">
        <f>D13*$C23</f>
        <v>388274.95650284149</v>
      </c>
      <c r="E23" s="3">
        <f t="shared" ref="E23:K23" si="7">E13*$C23</f>
        <v>34808.61469289766</v>
      </c>
      <c r="F23" s="3">
        <f t="shared" si="7"/>
        <v>484016.57568812993</v>
      </c>
      <c r="G23" s="3">
        <f t="shared" si="7"/>
        <v>536051.96357905807</v>
      </c>
      <c r="H23" s="3">
        <f t="shared" si="7"/>
        <v>96997.74834277542</v>
      </c>
      <c r="I23" s="3">
        <f t="shared" si="7"/>
        <v>65481.1260794474</v>
      </c>
      <c r="J23" s="3">
        <f t="shared" si="7"/>
        <v>89744.109983518676</v>
      </c>
      <c r="K23" s="3">
        <f t="shared" si="7"/>
        <v>27946.586331331328</v>
      </c>
      <c r="L23" s="3"/>
      <c r="M23" s="3"/>
      <c r="N23" s="3"/>
      <c r="O23" s="3"/>
      <c r="P23" s="3"/>
      <c r="Q23" s="3"/>
      <c r="R23" s="3"/>
      <c r="S23" s="12">
        <f t="shared" si="4"/>
        <v>1723321.6812000002</v>
      </c>
      <c r="U23" s="3">
        <f>[2]fy16_HR_cost_estimates!C30</f>
        <v>1723321.6812</v>
      </c>
      <c r="V23" s="12">
        <f t="shared" si="2"/>
        <v>0</v>
      </c>
    </row>
    <row r="24" spans="1:23" x14ac:dyDescent="0.2">
      <c r="A24" t="s">
        <v>46</v>
      </c>
      <c r="B24" s="10" t="s">
        <v>39</v>
      </c>
      <c r="C24" s="11">
        <f>[2]fy16_bnft_proj_by_component!B117</f>
        <v>4.6111330288810771E-3</v>
      </c>
      <c r="D24" s="3">
        <f>D13*$C24</f>
        <v>2068934.0082984574</v>
      </c>
      <c r="E24" s="3"/>
      <c r="F24" s="3">
        <f>F13*$C24</f>
        <v>2579095.914505647</v>
      </c>
      <c r="G24" s="3"/>
      <c r="H24" s="3">
        <f>H13*$C24</f>
        <v>516855.22569435852</v>
      </c>
      <c r="I24" s="3"/>
      <c r="J24" s="3">
        <f>J13*$C24</f>
        <v>478204.01001840062</v>
      </c>
      <c r="K24" s="3"/>
      <c r="L24" s="3">
        <f>L13*$C24</f>
        <v>231492.11093396091</v>
      </c>
      <c r="M24" s="3"/>
      <c r="N24" s="3"/>
      <c r="O24" s="3"/>
      <c r="P24" s="3">
        <f>P13*$C24</f>
        <v>538709.63897486834</v>
      </c>
      <c r="Q24" s="3"/>
      <c r="R24" s="3"/>
      <c r="S24" s="12">
        <f t="shared" si="4"/>
        <v>6413290.9084256934</v>
      </c>
      <c r="U24" s="3">
        <f>[2]fy16_HR_cost_estimates!C31</f>
        <v>14264062.07</v>
      </c>
      <c r="V24" s="12">
        <f t="shared" si="2"/>
        <v>-7850771.1615743069</v>
      </c>
    </row>
    <row r="25" spans="1:23" x14ac:dyDescent="0.2">
      <c r="A25" t="s">
        <v>47</v>
      </c>
      <c r="B25" s="10" t="s">
        <v>39</v>
      </c>
      <c r="C25" s="11">
        <f>[2]fy16_bnft_proj_by_component!B133</f>
        <v>1.0173269002514309E-2</v>
      </c>
      <c r="D25" s="3"/>
      <c r="E25" s="3">
        <f>E13*$C25</f>
        <v>409210.60012653033</v>
      </c>
      <c r="F25" s="3"/>
      <c r="G25" s="3">
        <f>G13*$C25</f>
        <v>6301834.9810959045</v>
      </c>
      <c r="H25" s="3"/>
      <c r="I25" s="3">
        <f>I13*$C25</f>
        <v>769797.10730628506</v>
      </c>
      <c r="J25" s="3"/>
      <c r="K25" s="3">
        <f>K13*$C25</f>
        <v>328540.49105451442</v>
      </c>
      <c r="L25" s="3"/>
      <c r="M25" s="3">
        <f>M13*$C25</f>
        <v>40354.496938627024</v>
      </c>
      <c r="N25" s="3"/>
      <c r="O25" s="3"/>
      <c r="P25" s="3"/>
      <c r="Q25" s="3">
        <f>Q13*$C25</f>
        <v>3658.3754447985993</v>
      </c>
      <c r="R25" s="3"/>
      <c r="S25" s="12">
        <f t="shared" si="4"/>
        <v>7853396.0519666597</v>
      </c>
      <c r="U25" s="3"/>
      <c r="V25" s="12">
        <f t="shared" si="2"/>
        <v>7853396.0519666597</v>
      </c>
    </row>
    <row r="26" spans="1:23" x14ac:dyDescent="0.2">
      <c r="A26" t="s">
        <v>48</v>
      </c>
      <c r="B26" s="10" t="s">
        <v>39</v>
      </c>
      <c r="C26" s="11">
        <f>[2]fy16_bnft_proj_by_component!B149</f>
        <v>3.1469078189724402E-3</v>
      </c>
      <c r="D26" s="3">
        <f>D13*$C26</f>
        <v>1411961.9986830619</v>
      </c>
      <c r="E26" s="3">
        <f t="shared" ref="E26:M26" si="8">E13*$C26</f>
        <v>126581.53803131697</v>
      </c>
      <c r="F26" s="3">
        <f t="shared" si="8"/>
        <v>1760126.4262825102</v>
      </c>
      <c r="G26" s="3">
        <f t="shared" si="8"/>
        <v>1949353.130344186</v>
      </c>
      <c r="H26" s="3">
        <f t="shared" si="8"/>
        <v>352732.3416667991</v>
      </c>
      <c r="I26" s="3">
        <f t="shared" si="8"/>
        <v>238122.13511761092</v>
      </c>
      <c r="J26" s="3">
        <f t="shared" si="8"/>
        <v>326354.48354350461</v>
      </c>
      <c r="K26" s="3">
        <f t="shared" si="8"/>
        <v>101627.76978500941</v>
      </c>
      <c r="L26" s="3">
        <f t="shared" si="8"/>
        <v>157983.8034092217</v>
      </c>
      <c r="M26" s="3">
        <f t="shared" si="8"/>
        <v>12482.898261657971</v>
      </c>
      <c r="N26" s="3"/>
      <c r="O26" s="3"/>
      <c r="P26" s="3">
        <f>P13*$C26</f>
        <v>367647.07598496723</v>
      </c>
      <c r="Q26" s="3">
        <f>Q13*$C26</f>
        <v>1131.6490588352844</v>
      </c>
      <c r="R26" s="3"/>
      <c r="S26" s="12">
        <f t="shared" si="4"/>
        <v>6806105.2501686811</v>
      </c>
      <c r="U26" s="3">
        <f>[2]fy16_HR_cost_estimates!C27</f>
        <v>7964266.9002840007</v>
      </c>
      <c r="V26" s="12">
        <f t="shared" si="2"/>
        <v>-1158161.6501153195</v>
      </c>
      <c r="W26" t="s">
        <v>49</v>
      </c>
    </row>
    <row r="27" spans="1:23" x14ac:dyDescent="0.2">
      <c r="A27" t="s">
        <v>50</v>
      </c>
      <c r="B27" s="10" t="s">
        <v>39</v>
      </c>
      <c r="C27" s="11">
        <f>[2]fy16_bnft_proj_by_component!B165</f>
        <v>0.11724888666501114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>P13*$C27</f>
        <v>13697957.749191279</v>
      </c>
      <c r="Q27" s="3">
        <f>Q13*$C27</f>
        <v>42163.482337804955</v>
      </c>
      <c r="R27" s="3"/>
      <c r="S27" s="12">
        <f t="shared" si="4"/>
        <v>13740121.231529083</v>
      </c>
      <c r="U27" s="3">
        <f>[2]fy16_HR_cost_estimates!C34</f>
        <v>13738800</v>
      </c>
      <c r="V27" s="12">
        <f t="shared" si="2"/>
        <v>1321.2315290831029</v>
      </c>
    </row>
    <row r="28" spans="1:23" x14ac:dyDescent="0.2">
      <c r="A28" t="s">
        <v>51</v>
      </c>
      <c r="B28" s="10" t="s">
        <v>52</v>
      </c>
      <c r="C28" s="13">
        <f>[2]fy16_bnft_proj_by_component!B182</f>
        <v>11108.427040455568</v>
      </c>
      <c r="D28" s="3">
        <f t="shared" ref="D28:I33" si="9">D$15*$C28</f>
        <v>51218789.963462658</v>
      </c>
      <c r="E28" s="3">
        <f t="shared" si="9"/>
        <v>7475282.4441267457</v>
      </c>
      <c r="F28" s="3">
        <f t="shared" si="9"/>
        <v>95325466.400583655</v>
      </c>
      <c r="G28" s="3">
        <f t="shared" si="9"/>
        <v>88919027.882144928</v>
      </c>
      <c r="H28" s="3">
        <f t="shared" si="9"/>
        <v>32501903.75795605</v>
      </c>
      <c r="I28" s="3">
        <f t="shared" si="9"/>
        <v>22098303.493244592</v>
      </c>
      <c r="J28" s="3"/>
      <c r="K28" s="3"/>
      <c r="L28" s="3"/>
      <c r="M28" s="3"/>
      <c r="N28" s="3">
        <f t="shared" ref="N28:N33" si="10">N$15*$C28</f>
        <v>44433.708161822273</v>
      </c>
      <c r="O28" s="3"/>
      <c r="P28" s="3"/>
      <c r="Q28" s="3"/>
      <c r="R28" s="3"/>
      <c r="S28" s="12">
        <f t="shared" si="4"/>
        <v>297583207.64968044</v>
      </c>
      <c r="U28" s="3">
        <f>[2]fy16_HR_cost_estimates!C26</f>
        <v>295890161.455217</v>
      </c>
      <c r="V28" s="12">
        <f t="shared" si="2"/>
        <v>1693046.1944634318</v>
      </c>
    </row>
    <row r="29" spans="1:23" x14ac:dyDescent="0.2">
      <c r="A29" t="s">
        <v>53</v>
      </c>
      <c r="B29" s="10" t="s">
        <v>52</v>
      </c>
      <c r="C29" s="13">
        <f>[2]fy16_bnft_proj_by_component!B196</f>
        <v>89.589144184769282</v>
      </c>
      <c r="D29" s="3">
        <f t="shared" si="9"/>
        <v>413078.06607495027</v>
      </c>
      <c r="E29" s="3">
        <f t="shared" si="9"/>
        <v>60287.93764137468</v>
      </c>
      <c r="F29" s="3">
        <f t="shared" si="9"/>
        <v>768797.14137205412</v>
      </c>
      <c r="G29" s="3">
        <f t="shared" si="9"/>
        <v>717129.39921116864</v>
      </c>
      <c r="H29" s="3">
        <f t="shared" si="9"/>
        <v>262126.91782972743</v>
      </c>
      <c r="I29" s="3">
        <f t="shared" si="9"/>
        <v>178222.18129398528</v>
      </c>
      <c r="J29" s="3"/>
      <c r="K29" s="3"/>
      <c r="L29" s="3"/>
      <c r="M29" s="3"/>
      <c r="N29" s="3">
        <f t="shared" si="10"/>
        <v>358.35657673907713</v>
      </c>
      <c r="O29" s="3"/>
      <c r="P29" s="3"/>
      <c r="Q29" s="3"/>
      <c r="R29" s="3"/>
      <c r="S29" s="12">
        <f t="shared" si="4"/>
        <v>2399999.9999999991</v>
      </c>
      <c r="U29" s="14">
        <f>2400000</f>
        <v>2400000</v>
      </c>
      <c r="V29" s="12"/>
    </row>
    <row r="30" spans="1:23" x14ac:dyDescent="0.2">
      <c r="A30" t="s">
        <v>54</v>
      </c>
      <c r="B30" s="10" t="s">
        <v>52</v>
      </c>
      <c r="C30" s="13">
        <f>[2]fy16_bnft_proj_by_component!B211</f>
        <v>66.333819000174756</v>
      </c>
      <c r="D30" s="3">
        <f t="shared" si="9"/>
        <v>305852.29848212266</v>
      </c>
      <c r="E30" s="3">
        <f t="shared" si="9"/>
        <v>44638.546107203998</v>
      </c>
      <c r="F30" s="3">
        <f t="shared" si="9"/>
        <v>569234.70904519991</v>
      </c>
      <c r="G30" s="3">
        <f t="shared" si="9"/>
        <v>530978.74971178616</v>
      </c>
      <c r="H30" s="3">
        <f t="shared" si="9"/>
        <v>194084.67042089315</v>
      </c>
      <c r="I30" s="3">
        <f t="shared" si="9"/>
        <v>131959.71479970217</v>
      </c>
      <c r="J30" s="3"/>
      <c r="K30" s="3"/>
      <c r="L30" s="3"/>
      <c r="M30" s="3"/>
      <c r="N30" s="3">
        <f t="shared" si="10"/>
        <v>265.33527600069903</v>
      </c>
      <c r="O30" s="3"/>
      <c r="P30" s="3"/>
      <c r="Q30" s="3"/>
      <c r="R30" s="3"/>
      <c r="S30" s="12">
        <f t="shared" si="4"/>
        <v>1777014.0238429087</v>
      </c>
      <c r="U30" s="3">
        <f>[2]fy16_HR_cost_estimates!C32</f>
        <v>1811351.6653909092</v>
      </c>
      <c r="V30" s="12">
        <f t="shared" si="2"/>
        <v>-34337.641548000509</v>
      </c>
    </row>
    <row r="31" spans="1:23" x14ac:dyDescent="0.2">
      <c r="A31" t="s">
        <v>55</v>
      </c>
      <c r="B31" s="10" t="s">
        <v>52</v>
      </c>
      <c r="C31" s="13">
        <f>[2]fy16_bnft_proj_by_component!B227</f>
        <v>618.37815703017657</v>
      </c>
      <c r="D31" s="3">
        <f t="shared" si="9"/>
        <v>2851221.0439492445</v>
      </c>
      <c r="E31" s="3">
        <f t="shared" si="9"/>
        <v>416130.14734168479</v>
      </c>
      <c r="F31" s="3">
        <f t="shared" si="9"/>
        <v>5306528.6395775303</v>
      </c>
      <c r="G31" s="3">
        <f t="shared" si="9"/>
        <v>4949898.3417206341</v>
      </c>
      <c r="H31" s="3">
        <f t="shared" si="9"/>
        <v>1809299.1269259641</v>
      </c>
      <c r="I31" s="3">
        <f t="shared" si="9"/>
        <v>1230156.9014118209</v>
      </c>
      <c r="J31" s="3"/>
      <c r="K31" s="3"/>
      <c r="L31" s="3"/>
      <c r="M31" s="3"/>
      <c r="N31" s="3">
        <f t="shared" si="10"/>
        <v>2473.5126281207063</v>
      </c>
      <c r="O31" s="3"/>
      <c r="P31" s="3"/>
      <c r="Q31" s="3"/>
      <c r="R31" s="3"/>
      <c r="S31" s="12">
        <f t="shared" si="4"/>
        <v>16565707.713554999</v>
      </c>
      <c r="U31" s="3">
        <f>[2]fy16_HR_cost_estimates!C33</f>
        <v>16574677.634578047</v>
      </c>
      <c r="V31" s="12">
        <f t="shared" si="2"/>
        <v>-8969.9210230484605</v>
      </c>
    </row>
    <row r="32" spans="1:23" x14ac:dyDescent="0.2">
      <c r="A32" t="s">
        <v>56</v>
      </c>
      <c r="B32" s="10" t="s">
        <v>52</v>
      </c>
      <c r="C32" s="13">
        <f>[2]fy16_bnft_proj_by_component!B243</f>
        <v>756.14118355785922</v>
      </c>
      <c r="D32" s="3">
        <f t="shared" si="9"/>
        <v>3486419.4833642039</v>
      </c>
      <c r="E32" s="3">
        <f t="shared" si="9"/>
        <v>508836.12001465465</v>
      </c>
      <c r="F32" s="3">
        <f t="shared" si="9"/>
        <v>6488723.4461582424</v>
      </c>
      <c r="G32" s="3">
        <f t="shared" si="9"/>
        <v>6052642.6233665897</v>
      </c>
      <c r="H32" s="3">
        <f t="shared" si="9"/>
        <v>2212376.9536336293</v>
      </c>
      <c r="I32" s="3">
        <f t="shared" si="9"/>
        <v>1504212.7294124507</v>
      </c>
      <c r="J32" s="3"/>
      <c r="K32" s="3"/>
      <c r="L32" s="3"/>
      <c r="M32" s="3"/>
      <c r="N32" s="3">
        <f t="shared" si="10"/>
        <v>3024.5647342314369</v>
      </c>
      <c r="O32" s="3"/>
      <c r="P32" s="3"/>
      <c r="Q32" s="3"/>
      <c r="R32" s="3"/>
      <c r="S32" s="12">
        <f t="shared" si="4"/>
        <v>20256235.920684002</v>
      </c>
      <c r="U32" s="3">
        <f>[2]fy16_HR_cost_estimates!C35</f>
        <v>20288840.790081792</v>
      </c>
      <c r="V32" s="12">
        <f t="shared" si="2"/>
        <v>-32604.86939778924</v>
      </c>
    </row>
    <row r="33" spans="1:22" x14ac:dyDescent="0.2">
      <c r="A33" s="15" t="s">
        <v>57</v>
      </c>
      <c r="B33" s="10" t="s">
        <v>52</v>
      </c>
      <c r="C33" s="13">
        <f>[2]fy16_bnft_proj_by_component!B259</f>
        <v>387.18425290866372</v>
      </c>
      <c r="D33" s="3">
        <f t="shared" si="9"/>
        <v>1785231.0551859876</v>
      </c>
      <c r="E33" s="3">
        <f t="shared" si="9"/>
        <v>260550.98871061811</v>
      </c>
      <c r="F33" s="3">
        <f t="shared" si="9"/>
        <v>3322569.3752196846</v>
      </c>
      <c r="G33" s="3">
        <f t="shared" si="9"/>
        <v>3099272.9442728548</v>
      </c>
      <c r="H33" s="3">
        <f t="shared" si="9"/>
        <v>1132853.9386182448</v>
      </c>
      <c r="I33" s="3">
        <f t="shared" si="9"/>
        <v>770236.42478097661</v>
      </c>
      <c r="J33" s="3"/>
      <c r="K33" s="3"/>
      <c r="L33" s="3"/>
      <c r="M33" s="3"/>
      <c r="N33" s="3">
        <f t="shared" si="10"/>
        <v>1548.7370116346549</v>
      </c>
      <c r="O33" s="3"/>
      <c r="P33" s="3"/>
      <c r="Q33" s="3"/>
      <c r="R33" s="3"/>
      <c r="S33" s="12">
        <f t="shared" si="4"/>
        <v>10372263.4638</v>
      </c>
      <c r="U33" s="3">
        <f>[2]fy16_HR_cost_estimates!C36</f>
        <v>10407030.176671566</v>
      </c>
      <c r="V33" s="12">
        <f t="shared" si="2"/>
        <v>-34766.712871566415</v>
      </c>
    </row>
    <row r="34" spans="1:22" x14ac:dyDescent="0.2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22" x14ac:dyDescent="0.2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22" ht="13.5" thickBot="1" x14ac:dyDescent="0.25">
      <c r="A36" t="s">
        <v>58</v>
      </c>
      <c r="D36" s="16">
        <f>SUM(D18:D35)</f>
        <v>136114780.81393194</v>
      </c>
      <c r="E36" s="16">
        <f t="shared" ref="E36:Q36" si="11">SUM(E18:E35)</f>
        <v>15807670.076464426</v>
      </c>
      <c r="F36" s="16">
        <f t="shared" si="11"/>
        <v>206589103.37981343</v>
      </c>
      <c r="G36" s="16">
        <f t="shared" si="11"/>
        <v>212714743.72751218</v>
      </c>
      <c r="H36" s="16">
        <f t="shared" si="11"/>
        <v>57112287.119547322</v>
      </c>
      <c r="I36" s="16">
        <f t="shared" si="11"/>
        <v>39160226.383775868</v>
      </c>
      <c r="J36" s="16">
        <f t="shared" si="11"/>
        <v>16912233.090540573</v>
      </c>
      <c r="K36" s="16">
        <f t="shared" si="11"/>
        <v>5446146.6777420565</v>
      </c>
      <c r="L36" s="16">
        <f t="shared" si="11"/>
        <v>389475.91434318258</v>
      </c>
      <c r="M36" s="16">
        <f t="shared" si="11"/>
        <v>52837.395200284998</v>
      </c>
      <c r="N36" s="16">
        <f t="shared" si="11"/>
        <v>52104.214388548848</v>
      </c>
      <c r="O36" s="16">
        <f t="shared" si="11"/>
        <v>0</v>
      </c>
      <c r="P36" s="16">
        <f t="shared" si="11"/>
        <v>14604314.464151114</v>
      </c>
      <c r="Q36" s="16">
        <f t="shared" si="11"/>
        <v>46953.506841438837</v>
      </c>
      <c r="R36" s="3"/>
      <c r="S36" s="17">
        <f>SUM(D36:R36)</f>
        <v>705002876.76425219</v>
      </c>
      <c r="U36" s="12">
        <f>SUM(U18:U33)</f>
        <v>740587701.64583147</v>
      </c>
      <c r="V36" s="12">
        <f>S36-U36</f>
        <v>-35584824.88157928</v>
      </c>
    </row>
    <row r="37" spans="1:22" ht="13.5" thickTop="1" x14ac:dyDescent="0.2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3"/>
    </row>
    <row r="38" spans="1:22" x14ac:dyDescent="0.2">
      <c r="A38" t="s">
        <v>59</v>
      </c>
      <c r="D38" s="19">
        <f>D36/D13</f>
        <v>0.30336557812504583</v>
      </c>
      <c r="E38" s="19">
        <f t="shared" ref="E38:Q38" si="12">E36/E13</f>
        <v>0.39299001526632832</v>
      </c>
      <c r="F38" s="19">
        <f t="shared" si="12"/>
        <v>0.36935805009957468</v>
      </c>
      <c r="G38" s="19">
        <f t="shared" si="12"/>
        <v>0.34339272850406327</v>
      </c>
      <c r="H38" s="19">
        <f t="shared" si="12"/>
        <v>0.50952827871303552</v>
      </c>
      <c r="I38" s="19">
        <f t="shared" si="12"/>
        <v>0.51752275167098094</v>
      </c>
      <c r="J38" s="19">
        <f t="shared" si="12"/>
        <v>0.16307800637833714</v>
      </c>
      <c r="K38" s="19">
        <f t="shared" si="12"/>
        <v>0.16864014235197033</v>
      </c>
      <c r="L38" s="19">
        <f t="shared" si="12"/>
        <v>7.7580408478535173E-3</v>
      </c>
      <c r="M38" s="19">
        <f t="shared" si="12"/>
        <v>1.3320176821486751E-2</v>
      </c>
      <c r="N38" s="19">
        <f t="shared" si="12"/>
        <v>4.0220060814030165E-2</v>
      </c>
      <c r="O38" s="19" t="e">
        <f t="shared" si="12"/>
        <v>#DIV/0!</v>
      </c>
      <c r="P38" s="19">
        <f t="shared" si="12"/>
        <v>0.12500692751286466</v>
      </c>
      <c r="Q38" s="19">
        <f t="shared" si="12"/>
        <v>0.13056906348649788</v>
      </c>
      <c r="R38" s="3"/>
    </row>
    <row r="39" spans="1:22" x14ac:dyDescent="0.2"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3"/>
    </row>
    <row r="40" spans="1:22" x14ac:dyDescent="0.2"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3"/>
    </row>
    <row r="41" spans="1:22" x14ac:dyDescent="0.2">
      <c r="A41" t="s">
        <v>60</v>
      </c>
      <c r="D41" s="18">
        <f>D36-D69</f>
        <v>126465864.94744165</v>
      </c>
      <c r="E41" s="19"/>
      <c r="F41" s="18">
        <f>F36-E69</f>
        <v>179382353.36673719</v>
      </c>
      <c r="G41" s="19"/>
      <c r="H41" s="18">
        <f>H36-F69</f>
        <v>56585352.824129663</v>
      </c>
      <c r="I41" s="19"/>
      <c r="J41" s="18">
        <f>J36-G69</f>
        <v>13593822.819934679</v>
      </c>
      <c r="K41" s="19"/>
      <c r="L41" s="18">
        <f>L36</f>
        <v>389475.91434318258</v>
      </c>
      <c r="M41" s="19"/>
      <c r="N41" s="18">
        <f>N36</f>
        <v>52104.214388548848</v>
      </c>
      <c r="O41" s="19"/>
      <c r="P41" s="18">
        <f>P36-H69</f>
        <v>10032530.156429697</v>
      </c>
      <c r="Q41" s="19"/>
      <c r="R41" s="3"/>
    </row>
    <row r="42" spans="1:22" x14ac:dyDescent="0.2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3"/>
    </row>
    <row r="43" spans="1:22" x14ac:dyDescent="0.2">
      <c r="A43" t="s">
        <v>61</v>
      </c>
      <c r="D43" s="18">
        <f>D13-D71</f>
        <v>416453416.56273597</v>
      </c>
      <c r="E43" s="19"/>
      <c r="F43" s="18">
        <f>F13-E71</f>
        <v>484455760.96453041</v>
      </c>
      <c r="G43" s="19"/>
      <c r="H43" s="18">
        <f>H13-F71</f>
        <v>111033462.98091584</v>
      </c>
      <c r="I43" s="19"/>
      <c r="J43" s="18">
        <f>J13-G71</f>
        <v>83357793.744407997</v>
      </c>
      <c r="K43" s="19"/>
      <c r="L43" s="18">
        <f>L13</f>
        <v>50202869.768459931</v>
      </c>
      <c r="M43" s="19"/>
      <c r="N43" s="18">
        <f>N13</f>
        <v>1295478.2597040001</v>
      </c>
      <c r="O43" s="19"/>
      <c r="P43" s="18">
        <f>P13-H71</f>
        <v>77245834.23774001</v>
      </c>
      <c r="Q43" s="19"/>
      <c r="R43" s="3"/>
    </row>
    <row r="44" spans="1:22" x14ac:dyDescent="0.2"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3"/>
    </row>
    <row r="45" spans="1:22" x14ac:dyDescent="0.2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3"/>
    </row>
    <row r="46" spans="1:22" x14ac:dyDescent="0.2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22" x14ac:dyDescent="0.2">
      <c r="A47" s="1" t="s">
        <v>62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22" x14ac:dyDescent="0.2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">
      <c r="A49" t="s">
        <v>63</v>
      </c>
      <c r="D49" s="20">
        <f>[2]fy16_salary_projection!B34</f>
        <v>7.1830180952885E-2</v>
      </c>
      <c r="E49" s="20">
        <f>[2]fy16_salary_projection!C34</f>
        <v>0.1338476603948065</v>
      </c>
      <c r="F49" s="20">
        <f>[2]fy16_salary_projection!D34</f>
        <v>9.4129980508122161E-3</v>
      </c>
      <c r="G49" s="20">
        <f>[2]fy16_salary_projection!E34</f>
        <v>0.19621360779742106</v>
      </c>
      <c r="H49" s="21">
        <f>I81</f>
        <v>0.3038872112832498</v>
      </c>
      <c r="I49" s="3" t="s">
        <v>64</v>
      </c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">
      <c r="D50" s="8" t="s">
        <v>16</v>
      </c>
      <c r="E50" s="8" t="s">
        <v>18</v>
      </c>
      <c r="F50" s="8" t="s">
        <v>20</v>
      </c>
      <c r="G50" s="8" t="s">
        <v>22</v>
      </c>
      <c r="H50" s="8" t="s">
        <v>65</v>
      </c>
    </row>
    <row r="52" spans="1:18" x14ac:dyDescent="0.2">
      <c r="A52" t="s">
        <v>38</v>
      </c>
      <c r="D52" s="12">
        <f t="shared" ref="D52:D63" si="13">D18*D$49</f>
        <v>4512050.8250529608</v>
      </c>
      <c r="E52" s="12">
        <f t="shared" ref="E52:E63" si="14">F18*E$49</f>
        <v>0</v>
      </c>
      <c r="F52" s="12">
        <f t="shared" ref="F52:F63" si="15">H18*F$49</f>
        <v>0</v>
      </c>
      <c r="G52" s="12">
        <f t="shared" ref="G52:G63" si="16">J18*G$49</f>
        <v>2848804.9872710397</v>
      </c>
      <c r="H52" s="22">
        <f t="shared" ref="H52:H63" si="17">(L18+N18+P18)*H$49</f>
        <v>0</v>
      </c>
    </row>
    <row r="53" spans="1:18" x14ac:dyDescent="0.2">
      <c r="A53" t="s">
        <v>40</v>
      </c>
      <c r="D53" s="12">
        <f t="shared" si="13"/>
        <v>0</v>
      </c>
      <c r="E53" s="12">
        <f t="shared" si="14"/>
        <v>10480902.040768316</v>
      </c>
      <c r="F53" s="12">
        <f t="shared" si="15"/>
        <v>147712.50541151999</v>
      </c>
      <c r="G53" s="12">
        <f t="shared" si="16"/>
        <v>0</v>
      </c>
      <c r="H53" s="22">
        <f t="shared" si="17"/>
        <v>0</v>
      </c>
    </row>
    <row r="54" spans="1:18" x14ac:dyDescent="0.2">
      <c r="A54" t="s">
        <v>42</v>
      </c>
      <c r="D54" s="12">
        <f t="shared" si="13"/>
        <v>465856.30469779402</v>
      </c>
      <c r="E54" s="12">
        <f t="shared" si="14"/>
        <v>1082123.0708443061</v>
      </c>
      <c r="F54" s="12">
        <f t="shared" si="15"/>
        <v>15250.892464815244</v>
      </c>
      <c r="G54" s="12">
        <f t="shared" si="16"/>
        <v>294130.94303057971</v>
      </c>
      <c r="H54" s="22">
        <f t="shared" si="17"/>
        <v>0</v>
      </c>
    </row>
    <row r="55" spans="1:18" x14ac:dyDescent="0.2">
      <c r="A55" t="s">
        <v>43</v>
      </c>
      <c r="D55" s="12">
        <f t="shared" si="13"/>
        <v>106024.52923805075</v>
      </c>
      <c r="E55" s="12">
        <f t="shared" si="14"/>
        <v>246281.06994994736</v>
      </c>
      <c r="F55" s="12">
        <f t="shared" si="15"/>
        <v>3470.9602032564881</v>
      </c>
      <c r="G55" s="12">
        <f t="shared" si="16"/>
        <v>0</v>
      </c>
      <c r="H55" s="22">
        <f t="shared" si="17"/>
        <v>0</v>
      </c>
    </row>
    <row r="56" spans="1:18" x14ac:dyDescent="0.2">
      <c r="A56" t="s">
        <v>44</v>
      </c>
      <c r="D56" s="12">
        <f t="shared" si="13"/>
        <v>101131.24172350203</v>
      </c>
      <c r="E56" s="12">
        <f t="shared" si="14"/>
        <v>234914.60510151606</v>
      </c>
      <c r="F56" s="12">
        <f t="shared" si="15"/>
        <v>3310.7670258083112</v>
      </c>
      <c r="G56" s="12">
        <f t="shared" si="16"/>
        <v>0</v>
      </c>
      <c r="H56" s="22">
        <f t="shared" si="17"/>
        <v>0</v>
      </c>
    </row>
    <row r="57" spans="1:18" x14ac:dyDescent="0.2">
      <c r="A57" t="s">
        <v>45</v>
      </c>
      <c r="D57" s="12">
        <f t="shared" si="13"/>
        <v>27889.860385072658</v>
      </c>
      <c r="E57" s="12">
        <f t="shared" si="14"/>
        <v>64784.486248161971</v>
      </c>
      <c r="F57" s="12">
        <f t="shared" si="15"/>
        <v>913.0396160837189</v>
      </c>
      <c r="G57" s="12">
        <f t="shared" si="16"/>
        <v>17609.015598434755</v>
      </c>
      <c r="H57" s="22">
        <f t="shared" si="17"/>
        <v>0</v>
      </c>
    </row>
    <row r="58" spans="1:18" x14ac:dyDescent="0.2">
      <c r="A58" t="s">
        <v>46</v>
      </c>
      <c r="D58" s="12">
        <f t="shared" si="13"/>
        <v>148611.90419565586</v>
      </c>
      <c r="E58" s="12">
        <f t="shared" si="14"/>
        <v>345205.95409038477</v>
      </c>
      <c r="F58" s="12">
        <f t="shared" si="15"/>
        <v>4865.1572320131045</v>
      </c>
      <c r="G58" s="12">
        <f t="shared" si="16"/>
        <v>93830.134068904474</v>
      </c>
      <c r="H58" s="12">
        <f t="shared" si="17"/>
        <v>234054.46190527311</v>
      </c>
    </row>
    <row r="59" spans="1:18" x14ac:dyDescent="0.2">
      <c r="A59" t="s">
        <v>47</v>
      </c>
      <c r="D59" s="12">
        <f t="shared" si="13"/>
        <v>0</v>
      </c>
      <c r="E59" s="12">
        <f t="shared" si="14"/>
        <v>0</v>
      </c>
      <c r="F59" s="12">
        <f t="shared" si="15"/>
        <v>0</v>
      </c>
      <c r="G59" s="12">
        <f t="shared" si="16"/>
        <v>0</v>
      </c>
      <c r="H59" s="12">
        <f t="shared" si="17"/>
        <v>0</v>
      </c>
    </row>
    <row r="60" spans="1:18" x14ac:dyDescent="0.2">
      <c r="A60" t="s">
        <v>66</v>
      </c>
      <c r="D60" s="12">
        <f t="shared" si="13"/>
        <v>101421.48586400152</v>
      </c>
      <c r="E60" s="12">
        <f t="shared" si="14"/>
        <v>235588.80415698583</v>
      </c>
      <c r="F60" s="12">
        <f t="shared" si="15"/>
        <v>3320.2688445680087</v>
      </c>
      <c r="G60" s="12">
        <f t="shared" si="16"/>
        <v>64035.19063693512</v>
      </c>
      <c r="H60" s="12">
        <f t="shared" si="17"/>
        <v>159732.50210346229</v>
      </c>
    </row>
    <row r="61" spans="1:18" ht="10.5" customHeight="1" x14ac:dyDescent="0.2">
      <c r="A61" t="s">
        <v>50</v>
      </c>
      <c r="D61" s="12">
        <f t="shared" si="13"/>
        <v>0</v>
      </c>
      <c r="E61" s="12">
        <f t="shared" si="14"/>
        <v>0</v>
      </c>
      <c r="F61" s="12">
        <f t="shared" si="15"/>
        <v>0</v>
      </c>
      <c r="G61" s="12">
        <f t="shared" si="16"/>
        <v>0</v>
      </c>
      <c r="H61" s="12">
        <f t="shared" si="17"/>
        <v>4162634.1806775192</v>
      </c>
    </row>
    <row r="62" spans="1:18" x14ac:dyDescent="0.2">
      <c r="A62" t="s">
        <v>51</v>
      </c>
      <c r="D62" s="12">
        <f t="shared" si="13"/>
        <v>3679054.9512633327</v>
      </c>
      <c r="E62" s="12">
        <f t="shared" si="14"/>
        <v>12759090.653761858</v>
      </c>
      <c r="F62" s="12">
        <f t="shared" si="15"/>
        <v>305940.35672132653</v>
      </c>
      <c r="G62" s="22">
        <f t="shared" si="16"/>
        <v>0</v>
      </c>
      <c r="H62" s="12">
        <f t="shared" si="17"/>
        <v>13502.835660269946</v>
      </c>
    </row>
    <row r="63" spans="1:18" x14ac:dyDescent="0.2">
      <c r="A63" t="s">
        <v>53</v>
      </c>
      <c r="D63" s="12">
        <f t="shared" si="13"/>
        <v>29671.472233831464</v>
      </c>
      <c r="E63" s="12">
        <f t="shared" si="14"/>
        <v>102901.69869086474</v>
      </c>
      <c r="F63" s="12">
        <f t="shared" si="15"/>
        <v>2467.4001665966384</v>
      </c>
      <c r="G63" s="22">
        <f t="shared" si="16"/>
        <v>0</v>
      </c>
      <c r="H63" s="12">
        <f t="shared" si="17"/>
        <v>108.89998075025005</v>
      </c>
    </row>
    <row r="64" spans="1:18" x14ac:dyDescent="0.2">
      <c r="A64" t="s">
        <v>54</v>
      </c>
      <c r="D64" s="12">
        <f>D30*D$49</f>
        <v>21969.425944826664</v>
      </c>
      <c r="E64" s="12">
        <f>F30*E$49</f>
        <v>76190.734021218406</v>
      </c>
      <c r="F64" s="12">
        <f>H30*F$49</f>
        <v>1826.9186243643985</v>
      </c>
      <c r="G64" s="12">
        <f>J30*G$49</f>
        <v>0</v>
      </c>
      <c r="H64" s="12">
        <f>(L30+N30+P30)*H$49</f>
        <v>80.631997078923831</v>
      </c>
    </row>
    <row r="65" spans="1:9" x14ac:dyDescent="0.2">
      <c r="A65" t="s">
        <v>55</v>
      </c>
      <c r="D65" s="12">
        <f>D31*D$49</f>
        <v>204803.7235235479</v>
      </c>
      <c r="E65" s="12">
        <f>F31*E$49</f>
        <v>710266.44322548783</v>
      </c>
      <c r="F65" s="12">
        <f>H31*F$49</f>
        <v>17030.929155090344</v>
      </c>
      <c r="G65" s="12">
        <f>J31*G$49</f>
        <v>0</v>
      </c>
      <c r="H65" s="12">
        <f>(L31+N31+P31)*H$49</f>
        <v>751.66885463350354</v>
      </c>
    </row>
    <row r="66" spans="1:9" x14ac:dyDescent="0.2">
      <c r="A66" t="s">
        <v>56</v>
      </c>
      <c r="D66" s="12">
        <f>D32*D$49</f>
        <v>250430.14236771461</v>
      </c>
      <c r="E66" s="12">
        <f>F32*E$49</f>
        <v>868500.45221720694</v>
      </c>
      <c r="F66" s="12">
        <f>H32*F$49</f>
        <v>20825.09995221522</v>
      </c>
      <c r="G66" s="12">
        <f>J32*G$49</f>
        <v>0</v>
      </c>
      <c r="H66" s="12">
        <f>(L32+N32+P32)*H$49</f>
        <v>919.12654243125496</v>
      </c>
    </row>
    <row r="67" spans="1:9" x14ac:dyDescent="0.2">
      <c r="A67" s="23" t="s">
        <v>67</v>
      </c>
      <c r="B67" s="23"/>
      <c r="C67" s="23"/>
      <c r="D67" s="12"/>
      <c r="E67" s="12"/>
      <c r="F67" s="12"/>
      <c r="G67" s="12"/>
      <c r="H67" s="12"/>
    </row>
    <row r="69" spans="1:9" ht="13.5" thickBot="1" x14ac:dyDescent="0.25">
      <c r="A69" t="s">
        <v>68</v>
      </c>
      <c r="D69" s="24">
        <f>SUM(D52:D68)</f>
        <v>9648915.8664902933</v>
      </c>
      <c r="E69" s="24">
        <f>SUM(E52:E68)</f>
        <v>27206750.01307625</v>
      </c>
      <c r="F69" s="24">
        <f>SUM(F52:F68)</f>
        <v>526934.29541765805</v>
      </c>
      <c r="G69" s="24">
        <f>SUM(G52:G68)</f>
        <v>3318410.2706058943</v>
      </c>
      <c r="H69" s="24">
        <f>SUM(H52:H68)</f>
        <v>4571784.3077214174</v>
      </c>
    </row>
    <row r="70" spans="1:9" ht="13.5" thickTop="1" x14ac:dyDescent="0.2"/>
    <row r="71" spans="1:9" ht="13.5" thickBot="1" x14ac:dyDescent="0.25">
      <c r="A71" t="s">
        <v>69</v>
      </c>
      <c r="D71" s="25">
        <f>[2]fy16_salary_projection!B29</f>
        <v>32228934.464664008</v>
      </c>
      <c r="E71" s="25">
        <f>[2]fy16_salary_projection!C29</f>
        <v>74863586.005487964</v>
      </c>
      <c r="F71" s="25">
        <f>[2]fy16_salary_projection!D29</f>
        <v>1055089.324368</v>
      </c>
      <c r="G71" s="25">
        <f>[2]fy16_salary_projection!E29</f>
        <v>20348607.051935997</v>
      </c>
      <c r="H71" s="25">
        <f>[2]fy16_salary_projection!H29</f>
        <v>39582206.853408001</v>
      </c>
    </row>
    <row r="72" spans="1:9" ht="13.5" thickTop="1" x14ac:dyDescent="0.2"/>
    <row r="74" spans="1:9" x14ac:dyDescent="0.2">
      <c r="A74" s="1" t="s">
        <v>70</v>
      </c>
    </row>
    <row r="75" spans="1:9" x14ac:dyDescent="0.2">
      <c r="E75" s="7" t="s">
        <v>71</v>
      </c>
      <c r="F75" s="7" t="s">
        <v>72</v>
      </c>
      <c r="G75" s="7" t="s">
        <v>73</v>
      </c>
      <c r="H75" s="7" t="s">
        <v>74</v>
      </c>
    </row>
    <row r="76" spans="1:9" x14ac:dyDescent="0.2">
      <c r="D76" s="7" t="s">
        <v>73</v>
      </c>
      <c r="E76" s="7" t="s">
        <v>75</v>
      </c>
      <c r="F76" s="26" t="s">
        <v>76</v>
      </c>
      <c r="G76" s="26" t="s">
        <v>77</v>
      </c>
      <c r="H76" s="26" t="s">
        <v>78</v>
      </c>
      <c r="I76" s="26"/>
    </row>
    <row r="77" spans="1:9" x14ac:dyDescent="0.2">
      <c r="D77" s="27" t="s">
        <v>79</v>
      </c>
      <c r="E77" s="27" t="s">
        <v>80</v>
      </c>
      <c r="F77" s="28" t="s">
        <v>81</v>
      </c>
      <c r="G77" s="28" t="s">
        <v>82</v>
      </c>
      <c r="H77" s="8" t="s">
        <v>83</v>
      </c>
      <c r="I77" s="27" t="s">
        <v>84</v>
      </c>
    </row>
    <row r="79" spans="1:9" x14ac:dyDescent="0.2">
      <c r="A79" t="s">
        <v>85</v>
      </c>
      <c r="D79" s="3">
        <f>D81-D80</f>
        <v>4796468.8824599981</v>
      </c>
      <c r="E79" s="3">
        <f>E81-E80</f>
        <v>56294816.910623938</v>
      </c>
      <c r="F79" s="3">
        <f>L36+N36</f>
        <v>441580.12873173144</v>
      </c>
      <c r="G79" s="29">
        <f>F79/E79</f>
        <v>7.8440636805481214E-3</v>
      </c>
      <c r="H79" s="3">
        <f>D79*G79</f>
        <v>37623.807355783705</v>
      </c>
    </row>
    <row r="80" spans="1:9" x14ac:dyDescent="0.2">
      <c r="A80" t="s">
        <v>86</v>
      </c>
      <c r="D80" s="30">
        <f>[2]fy13_salary!E66*(1+[2]fy16_salary_projection!H25)*(1+[2]fy16_salary_projection!H27)</f>
        <v>34785737.970948003</v>
      </c>
      <c r="E80" s="30">
        <f>[2]fy16_salary_projection!H18+fy16_summary_bnft_projection!D80</f>
        <v>112031572.20868802</v>
      </c>
      <c r="F80" s="30">
        <f>P36</f>
        <v>14604314.464151114</v>
      </c>
      <c r="G80" s="29">
        <f>F80/E80</f>
        <v>0.13035891736792526</v>
      </c>
      <c r="H80" s="3">
        <f>D80*G80</f>
        <v>4534631.1417371109</v>
      </c>
    </row>
    <row r="81" spans="1:9" x14ac:dyDescent="0.2">
      <c r="A81" t="s">
        <v>87</v>
      </c>
      <c r="D81" s="3">
        <f>[2]fy16_salary_projection!H29</f>
        <v>39582206.853408001</v>
      </c>
      <c r="E81" s="3">
        <f>[2]fy16_salary_projection!F32+[2]fy16_salary_projection!G32+[2]fy16_salary_projection!H32</f>
        <v>168326389.11931196</v>
      </c>
      <c r="F81" s="31">
        <f>SUM(F79:F80)</f>
        <v>15045894.592882846</v>
      </c>
      <c r="G81" s="3"/>
      <c r="H81" s="31">
        <f>SUM(H79:H80)</f>
        <v>4572254.9490928948</v>
      </c>
      <c r="I81" s="32">
        <f>H81/F81</f>
        <v>0.3038872112832498</v>
      </c>
    </row>
    <row r="82" spans="1:9" x14ac:dyDescent="0.2">
      <c r="D82" s="3"/>
      <c r="E82" s="3"/>
      <c r="F82" s="3"/>
      <c r="G82" s="3"/>
      <c r="H82" s="3"/>
    </row>
  </sheetData>
  <mergeCells count="7">
    <mergeCell ref="P8:Q8"/>
    <mergeCell ref="D8:E8"/>
    <mergeCell ref="F8:G8"/>
    <mergeCell ref="H8:I8"/>
    <mergeCell ref="J8:K8"/>
    <mergeCell ref="L8:M8"/>
    <mergeCell ref="N8:O8"/>
  </mergeCells>
  <printOptions gridLines="1"/>
  <pageMargins left="0.5" right="0.5" top="0.5" bottom="0.5" header="0.5" footer="0.5"/>
  <pageSetup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Rates</vt:lpstr>
      <vt:lpstr>Components</vt:lpstr>
      <vt:lpstr>Distribution</vt:lpstr>
      <vt:lpstr>UNIV Benefit Pools and Targets</vt:lpstr>
      <vt:lpstr>OSP Benefit Pools and Targets</vt:lpstr>
      <vt:lpstr>fy16_summary_bnft_projection</vt:lpstr>
      <vt:lpstr>Distribution!Print_Area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Gast</dc:creator>
  <cp:lastModifiedBy>hupp.1</cp:lastModifiedBy>
  <cp:lastPrinted>2015-09-15T12:12:53Z</cp:lastPrinted>
  <dcterms:created xsi:type="dcterms:W3CDTF">2015-06-15T18:46:11Z</dcterms:created>
  <dcterms:modified xsi:type="dcterms:W3CDTF">2015-10-22T12:48:21Z</dcterms:modified>
</cp:coreProperties>
</file>