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ATA\psgl18\"/>
    </mc:Choice>
  </mc:AlternateContent>
  <bookViews>
    <workbookView xWindow="0" yWindow="0" windowWidth="28800" windowHeight="12300" tabRatio="685" activeTab="3"/>
  </bookViews>
  <sheets>
    <sheet name="Rate_Summary" sheetId="2" r:id="rId1"/>
    <sheet name="Components" sheetId="3" r:id="rId2"/>
    <sheet name="Distribution" sheetId="4" r:id="rId3"/>
    <sheet name="UNIV_Accts_and_Rates" sheetId="10" r:id="rId4"/>
    <sheet name="OSUMC_Programs_and_Rates" sheetId="11" r:id="rId5"/>
    <sheet name="OSP_Accts_and_Rates" sheetId="12" r:id="rId6"/>
    <sheet name="fy19_summary_bnft_projection" sheetId="9" r:id="rId7"/>
  </sheets>
  <externalReferences>
    <externalReference r:id="rId8"/>
    <externalReference r:id="rId9"/>
  </externalReferences>
  <definedNames>
    <definedName name="_xlnm.Print_Area" localSheetId="2">Distribution!$B$1:$AE$57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2" i="4" l="1"/>
  <c r="AC39" i="4"/>
  <c r="Y36" i="4"/>
  <c r="U39" i="4"/>
  <c r="W39" i="4" s="1"/>
  <c r="S39" i="4"/>
  <c r="AE23" i="4"/>
  <c r="AC10" i="4"/>
  <c r="U10" i="4"/>
  <c r="W10" i="4" s="1"/>
  <c r="S10" i="4"/>
  <c r="S7" i="4"/>
  <c r="S15" i="4"/>
  <c r="K52" i="3"/>
  <c r="I52" i="3"/>
  <c r="C47" i="3"/>
  <c r="C42" i="3" s="1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O24" i="3"/>
  <c r="M16" i="3"/>
  <c r="E16" i="3"/>
  <c r="E11" i="3"/>
  <c r="C16" i="3"/>
  <c r="C11" i="3" s="1"/>
  <c r="G26" i="3"/>
  <c r="G25" i="3"/>
  <c r="G24" i="3"/>
  <c r="G23" i="3"/>
  <c r="G22" i="3"/>
  <c r="G21" i="3"/>
  <c r="G20" i="3"/>
  <c r="G19" i="3"/>
  <c r="G18" i="3"/>
  <c r="G17" i="3"/>
  <c r="G10" i="3"/>
  <c r="G9" i="3"/>
  <c r="G8" i="3"/>
  <c r="O57" i="3"/>
  <c r="K57" i="3"/>
  <c r="I57" i="3"/>
  <c r="E57" i="3"/>
  <c r="C57" i="3"/>
  <c r="O56" i="3"/>
  <c r="K56" i="3"/>
  <c r="I56" i="3"/>
  <c r="E56" i="3"/>
  <c r="C56" i="3"/>
  <c r="O55" i="3"/>
  <c r="K55" i="3"/>
  <c r="I55" i="3"/>
  <c r="E55" i="3"/>
  <c r="C55" i="3"/>
  <c r="O54" i="3"/>
  <c r="K54" i="3"/>
  <c r="I54" i="3"/>
  <c r="E54" i="3"/>
  <c r="C54" i="3"/>
  <c r="O53" i="3"/>
  <c r="K53" i="3"/>
  <c r="I53" i="3"/>
  <c r="E53" i="3"/>
  <c r="C53" i="3"/>
  <c r="O52" i="3"/>
  <c r="E52" i="3"/>
  <c r="C52" i="3"/>
  <c r="O51" i="3"/>
  <c r="K51" i="3"/>
  <c r="I51" i="3"/>
  <c r="E51" i="3"/>
  <c r="C51" i="3"/>
  <c r="O50" i="3"/>
  <c r="K50" i="3"/>
  <c r="I50" i="3"/>
  <c r="E50" i="3"/>
  <c r="C50" i="3"/>
  <c r="O49" i="3"/>
  <c r="K49" i="3"/>
  <c r="I49" i="3"/>
  <c r="E49" i="3"/>
  <c r="C49" i="3"/>
  <c r="O48" i="3"/>
  <c r="K48" i="3"/>
  <c r="I48" i="3"/>
  <c r="E48" i="3"/>
  <c r="C48" i="3"/>
  <c r="O47" i="3"/>
  <c r="K47" i="3"/>
  <c r="I47" i="3"/>
  <c r="E47" i="3"/>
  <c r="O41" i="3"/>
  <c r="K41" i="3"/>
  <c r="I41" i="3"/>
  <c r="E41" i="3"/>
  <c r="C41" i="3"/>
  <c r="O40" i="3"/>
  <c r="K40" i="3"/>
  <c r="I40" i="3"/>
  <c r="E40" i="3"/>
  <c r="C40" i="3"/>
  <c r="O39" i="3"/>
  <c r="K39" i="3"/>
  <c r="I39" i="3"/>
  <c r="E39" i="3"/>
  <c r="C39" i="3"/>
  <c r="O26" i="3"/>
  <c r="M26" i="3"/>
  <c r="K26" i="3"/>
  <c r="I26" i="3"/>
  <c r="E26" i="3"/>
  <c r="C26" i="3"/>
  <c r="O25" i="3"/>
  <c r="M25" i="3"/>
  <c r="K25" i="3"/>
  <c r="I25" i="3"/>
  <c r="E25" i="3"/>
  <c r="C25" i="3"/>
  <c r="M24" i="3"/>
  <c r="K24" i="3"/>
  <c r="I24" i="3"/>
  <c r="E24" i="3"/>
  <c r="C24" i="3"/>
  <c r="O23" i="3"/>
  <c r="M23" i="3"/>
  <c r="K23" i="3"/>
  <c r="I23" i="3"/>
  <c r="E23" i="3"/>
  <c r="C23" i="3"/>
  <c r="O22" i="3"/>
  <c r="M22" i="3"/>
  <c r="K22" i="3"/>
  <c r="I22" i="3"/>
  <c r="E22" i="3"/>
  <c r="C22" i="3"/>
  <c r="O21" i="3"/>
  <c r="M21" i="3"/>
  <c r="K21" i="3"/>
  <c r="I21" i="3"/>
  <c r="E21" i="3"/>
  <c r="C21" i="3"/>
  <c r="O20" i="3"/>
  <c r="M20" i="3"/>
  <c r="K20" i="3"/>
  <c r="I20" i="3"/>
  <c r="E20" i="3"/>
  <c r="C20" i="3"/>
  <c r="O19" i="3"/>
  <c r="M19" i="3"/>
  <c r="K19" i="3"/>
  <c r="I19" i="3"/>
  <c r="E19" i="3"/>
  <c r="C19" i="3"/>
  <c r="O18" i="3"/>
  <c r="M18" i="3"/>
  <c r="K18" i="3"/>
  <c r="I18" i="3"/>
  <c r="E18" i="3"/>
  <c r="C18" i="3"/>
  <c r="O17" i="3"/>
  <c r="M17" i="3"/>
  <c r="K17" i="3"/>
  <c r="I17" i="3"/>
  <c r="E17" i="3"/>
  <c r="C17" i="3"/>
  <c r="O16" i="3"/>
  <c r="K16" i="3"/>
  <c r="I16" i="3"/>
  <c r="O10" i="3"/>
  <c r="M10" i="3"/>
  <c r="K10" i="3"/>
  <c r="I10" i="3"/>
  <c r="E10" i="3"/>
  <c r="C10" i="3"/>
  <c r="O9" i="3"/>
  <c r="M9" i="3"/>
  <c r="K9" i="3"/>
  <c r="I9" i="3"/>
  <c r="E9" i="3"/>
  <c r="C9" i="3"/>
  <c r="O8" i="3"/>
  <c r="M8" i="3"/>
  <c r="K8" i="3"/>
  <c r="I8" i="3"/>
  <c r="E8" i="3"/>
  <c r="C8" i="3"/>
  <c r="G16" i="3" l="1"/>
  <c r="E84" i="9"/>
  <c r="D84" i="9"/>
  <c r="D82" i="9" s="1"/>
  <c r="D83" i="9"/>
  <c r="E83" i="9" s="1"/>
  <c r="I74" i="9"/>
  <c r="G74" i="9"/>
  <c r="F74" i="9"/>
  <c r="E74" i="9"/>
  <c r="D74" i="9"/>
  <c r="D64" i="9"/>
  <c r="G52" i="9"/>
  <c r="G67" i="9" s="1"/>
  <c r="F52" i="9"/>
  <c r="E52" i="9"/>
  <c r="E64" i="9" s="1"/>
  <c r="D52" i="9"/>
  <c r="D62" i="9" s="1"/>
  <c r="P36" i="9"/>
  <c r="V33" i="9"/>
  <c r="C33" i="9"/>
  <c r="E33" i="9" s="1"/>
  <c r="V32" i="9"/>
  <c r="C32" i="9"/>
  <c r="I32" i="9" s="1"/>
  <c r="F69" i="9" s="1"/>
  <c r="V31" i="9"/>
  <c r="I31" i="9"/>
  <c r="F68" i="9" s="1"/>
  <c r="E31" i="9"/>
  <c r="C31" i="9"/>
  <c r="V30" i="9"/>
  <c r="I30" i="9"/>
  <c r="F67" i="9" s="1"/>
  <c r="C30" i="9"/>
  <c r="V29" i="9"/>
  <c r="C29" i="9"/>
  <c r="E29" i="9" s="1"/>
  <c r="V28" i="9"/>
  <c r="C28" i="9"/>
  <c r="I28" i="9" s="1"/>
  <c r="F65" i="9" s="1"/>
  <c r="V27" i="9"/>
  <c r="C27" i="9"/>
  <c r="V26" i="9"/>
  <c r="H26" i="9"/>
  <c r="C26" i="9"/>
  <c r="J25" i="9"/>
  <c r="C25" i="9"/>
  <c r="V24" i="9"/>
  <c r="F24" i="9"/>
  <c r="E61" i="9" s="1"/>
  <c r="C24" i="9"/>
  <c r="V23" i="9"/>
  <c r="J23" i="9"/>
  <c r="C23" i="9"/>
  <c r="V22" i="9"/>
  <c r="H22" i="9"/>
  <c r="D22" i="9"/>
  <c r="C22" i="9"/>
  <c r="V21" i="9"/>
  <c r="H21" i="9"/>
  <c r="D21" i="9"/>
  <c r="D58" i="9" s="1"/>
  <c r="C21" i="9"/>
  <c r="V20" i="9"/>
  <c r="C20" i="9"/>
  <c r="L20" i="9" s="1"/>
  <c r="V19" i="9"/>
  <c r="C19" i="9"/>
  <c r="H19" i="9" s="1"/>
  <c r="V18" i="9"/>
  <c r="V36" i="9" s="1"/>
  <c r="C18" i="9"/>
  <c r="O15" i="9"/>
  <c r="J15" i="9"/>
  <c r="J30" i="9" s="1"/>
  <c r="I15" i="9"/>
  <c r="I33" i="9" s="1"/>
  <c r="H15" i="9"/>
  <c r="G15" i="9"/>
  <c r="F15" i="9"/>
  <c r="F32" i="9" s="1"/>
  <c r="E69" i="9" s="1"/>
  <c r="E15" i="9"/>
  <c r="E30" i="9" s="1"/>
  <c r="D15" i="9"/>
  <c r="R13" i="9"/>
  <c r="R26" i="9" s="1"/>
  <c r="Q13" i="9"/>
  <c r="Q26" i="9" s="1"/>
  <c r="P13" i="9"/>
  <c r="P38" i="9" s="1"/>
  <c r="O13" i="9"/>
  <c r="O43" i="9" s="1"/>
  <c r="N13" i="9"/>
  <c r="M13" i="9"/>
  <c r="M43" i="9" s="1"/>
  <c r="L13" i="9"/>
  <c r="K13" i="9"/>
  <c r="K24" i="9" s="1"/>
  <c r="J13" i="9"/>
  <c r="J4" i="9" s="1"/>
  <c r="J6" i="9" s="1"/>
  <c r="I13" i="9"/>
  <c r="I24" i="9" s="1"/>
  <c r="F61" i="9" s="1"/>
  <c r="H13" i="9"/>
  <c r="G13" i="9"/>
  <c r="F13" i="9"/>
  <c r="F23" i="9" s="1"/>
  <c r="E60" i="9" s="1"/>
  <c r="E13" i="9"/>
  <c r="E25" i="9" s="1"/>
  <c r="D13" i="9"/>
  <c r="W5" i="9"/>
  <c r="H4" i="9"/>
  <c r="H6" i="9" s="1"/>
  <c r="F4" i="9"/>
  <c r="F6" i="9" s="1"/>
  <c r="D4" i="9"/>
  <c r="D6" i="9" s="1"/>
  <c r="M26" i="2"/>
  <c r="M23" i="2"/>
  <c r="M11" i="2"/>
  <c r="I20" i="9" l="1"/>
  <c r="F57" i="9" s="1"/>
  <c r="E26" i="9"/>
  <c r="M26" i="9"/>
  <c r="J29" i="9"/>
  <c r="F30" i="9"/>
  <c r="E67" i="9" s="1"/>
  <c r="J33" i="9"/>
  <c r="I43" i="9"/>
  <c r="G69" i="9"/>
  <c r="D20" i="9"/>
  <c r="D57" i="9" s="1"/>
  <c r="E22" i="9"/>
  <c r="M24" i="9"/>
  <c r="R25" i="9"/>
  <c r="E28" i="9"/>
  <c r="F31" i="9"/>
  <c r="E68" i="9" s="1"/>
  <c r="E32" i="9"/>
  <c r="D56" i="9"/>
  <c r="G64" i="9"/>
  <c r="Q43" i="9"/>
  <c r="I4" i="9"/>
  <c r="I6" i="9" s="1"/>
  <c r="G61" i="9"/>
  <c r="D33" i="9"/>
  <c r="H33" i="9"/>
  <c r="E20" i="9"/>
  <c r="E23" i="9"/>
  <c r="I26" i="9"/>
  <c r="F63" i="9" s="1"/>
  <c r="Q27" i="9"/>
  <c r="G56" i="9"/>
  <c r="G65" i="9"/>
  <c r="E4" i="9"/>
  <c r="E6" i="9" s="1"/>
  <c r="D23" i="9"/>
  <c r="D60" i="9" s="1"/>
  <c r="H23" i="9"/>
  <c r="L23" i="9"/>
  <c r="E18" i="9"/>
  <c r="H20" i="9"/>
  <c r="I22" i="9"/>
  <c r="F59" i="9" s="1"/>
  <c r="I23" i="9"/>
  <c r="F60" i="9" s="1"/>
  <c r="D24" i="9"/>
  <c r="D26" i="9"/>
  <c r="L26" i="9"/>
  <c r="J28" i="9"/>
  <c r="I29" i="9"/>
  <c r="F66" i="9" s="1"/>
  <c r="J32" i="9"/>
  <c r="G68" i="9"/>
  <c r="G26" i="9"/>
  <c r="G22" i="9"/>
  <c r="G20" i="9"/>
  <c r="G23" i="9"/>
  <c r="G4" i="9"/>
  <c r="G6" i="9" s="1"/>
  <c r="G33" i="9"/>
  <c r="G32" i="9"/>
  <c r="G31" i="9"/>
  <c r="G30" i="9"/>
  <c r="G29" i="9"/>
  <c r="G28" i="9"/>
  <c r="O33" i="9"/>
  <c r="O32" i="9"/>
  <c r="O31" i="9"/>
  <c r="O30" i="9"/>
  <c r="O29" i="9"/>
  <c r="O28" i="9"/>
  <c r="G21" i="9"/>
  <c r="K43" i="9"/>
  <c r="F29" i="9"/>
  <c r="E66" i="9" s="1"/>
  <c r="J31" i="9"/>
  <c r="F33" i="9"/>
  <c r="F64" i="9"/>
  <c r="F55" i="9"/>
  <c r="F62" i="9"/>
  <c r="K26" i="9"/>
  <c r="G63" i="9" s="1"/>
  <c r="K20" i="9"/>
  <c r="G57" i="9" s="1"/>
  <c r="K23" i="9"/>
  <c r="G60" i="9" s="1"/>
  <c r="T13" i="9"/>
  <c r="D61" i="9"/>
  <c r="D63" i="9"/>
  <c r="T33" i="9"/>
  <c r="W33" i="9" s="1"/>
  <c r="E55" i="9"/>
  <c r="F43" i="9"/>
  <c r="F21" i="9"/>
  <c r="E58" i="9" s="1"/>
  <c r="F19" i="9"/>
  <c r="F26" i="9"/>
  <c r="E63" i="9" s="1"/>
  <c r="F22" i="9"/>
  <c r="E59" i="9" s="1"/>
  <c r="F20" i="9"/>
  <c r="E57" i="9" s="1"/>
  <c r="J21" i="9"/>
  <c r="J19" i="9"/>
  <c r="J26" i="9"/>
  <c r="J22" i="9"/>
  <c r="J20" i="9"/>
  <c r="N25" i="9"/>
  <c r="N26" i="9"/>
  <c r="R27" i="9"/>
  <c r="R36" i="9" s="1"/>
  <c r="R38" i="9" s="1"/>
  <c r="K18" i="9"/>
  <c r="G19" i="9"/>
  <c r="M36" i="9"/>
  <c r="G25" i="9"/>
  <c r="T25" i="9" s="1"/>
  <c r="W25" i="9" s="1"/>
  <c r="F28" i="9"/>
  <c r="E65" i="9" s="1"/>
  <c r="D59" i="9"/>
  <c r="E62" i="9"/>
  <c r="E82" i="9"/>
  <c r="L18" i="9"/>
  <c r="I19" i="9"/>
  <c r="E21" i="9"/>
  <c r="E36" i="9" s="1"/>
  <c r="E38" i="9" s="1"/>
  <c r="I21" i="9"/>
  <c r="F58" i="9" s="1"/>
  <c r="H24" i="9"/>
  <c r="T24" i="9" s="1"/>
  <c r="W24" i="9" s="1"/>
  <c r="Q24" i="9"/>
  <c r="Q36" i="9" s="1"/>
  <c r="L25" i="9"/>
  <c r="D43" i="9"/>
  <c r="G58" i="9"/>
  <c r="G62" i="9"/>
  <c r="G66" i="9"/>
  <c r="D18" i="9"/>
  <c r="D28" i="9"/>
  <c r="H28" i="9"/>
  <c r="D29" i="9"/>
  <c r="H29" i="9"/>
  <c r="D30" i="9"/>
  <c r="H30" i="9"/>
  <c r="D31" i="9"/>
  <c r="H31" i="9"/>
  <c r="D32" i="9"/>
  <c r="H32" i="9"/>
  <c r="G59" i="9"/>
  <c r="L36" i="9" l="1"/>
  <c r="L38" i="9" s="1"/>
  <c r="H36" i="9"/>
  <c r="H38" i="9" s="1"/>
  <c r="T30" i="9"/>
  <c r="W30" i="9" s="1"/>
  <c r="D67" i="9"/>
  <c r="Q38" i="9"/>
  <c r="F83" i="9"/>
  <c r="G83" i="9" s="1"/>
  <c r="I83" i="9" s="1"/>
  <c r="M41" i="9"/>
  <c r="M38" i="9"/>
  <c r="T27" i="9"/>
  <c r="W27" i="9" s="1"/>
  <c r="T18" i="9"/>
  <c r="W18" i="9" s="1"/>
  <c r="D36" i="9"/>
  <c r="D55" i="9"/>
  <c r="T23" i="9"/>
  <c r="W23" i="9" s="1"/>
  <c r="O36" i="9"/>
  <c r="D66" i="9"/>
  <c r="T29" i="9"/>
  <c r="W29" i="9" s="1"/>
  <c r="G36" i="9"/>
  <c r="N36" i="9"/>
  <c r="N38" i="9" s="1"/>
  <c r="J36" i="9"/>
  <c r="J38" i="9" s="1"/>
  <c r="T32" i="9"/>
  <c r="W32" i="9" s="1"/>
  <c r="D69" i="9"/>
  <c r="T28" i="9"/>
  <c r="W28" i="9" s="1"/>
  <c r="D65" i="9"/>
  <c r="F56" i="9"/>
  <c r="F72" i="9" s="1"/>
  <c r="I36" i="9"/>
  <c r="T21" i="9"/>
  <c r="W21" i="9" s="1"/>
  <c r="T31" i="9"/>
  <c r="W31" i="9" s="1"/>
  <c r="D68" i="9"/>
  <c r="G55" i="9"/>
  <c r="G72" i="9" s="1"/>
  <c r="K36" i="9"/>
  <c r="E56" i="9"/>
  <c r="F36" i="9"/>
  <c r="T19" i="9"/>
  <c r="W19" i="9" s="1"/>
  <c r="E72" i="9"/>
  <c r="T22" i="9"/>
  <c r="W22" i="9" s="1"/>
  <c r="T20" i="9"/>
  <c r="W20" i="9" s="1"/>
  <c r="T26" i="9"/>
  <c r="W26" i="9" s="1"/>
  <c r="I45" i="3"/>
  <c r="O60" i="3"/>
  <c r="M60" i="3"/>
  <c r="K60" i="3"/>
  <c r="I60" i="3"/>
  <c r="G60" i="3"/>
  <c r="E60" i="3"/>
  <c r="C60" i="3"/>
  <c r="O29" i="3"/>
  <c r="M29" i="3"/>
  <c r="K29" i="3"/>
  <c r="I29" i="3"/>
  <c r="G29" i="3"/>
  <c r="E29" i="3"/>
  <c r="C29" i="3"/>
  <c r="J54" i="4"/>
  <c r="R54" i="4" s="1"/>
  <c r="I54" i="4"/>
  <c r="Q54" i="4" s="1"/>
  <c r="E54" i="4"/>
  <c r="M54" i="4" s="1"/>
  <c r="H54" i="4"/>
  <c r="P54" i="4"/>
  <c r="G54" i="4"/>
  <c r="O54" i="4" s="1"/>
  <c r="F54" i="4"/>
  <c r="N54" i="4" s="1"/>
  <c r="D54" i="4"/>
  <c r="L54" i="4" s="1"/>
  <c r="J52" i="4"/>
  <c r="R52" i="4"/>
  <c r="I52" i="4"/>
  <c r="Q52" i="4" s="1"/>
  <c r="H52" i="4"/>
  <c r="P52" i="4" s="1"/>
  <c r="G52" i="4"/>
  <c r="O52" i="4" s="1"/>
  <c r="F52" i="4"/>
  <c r="N52" i="4"/>
  <c r="E52" i="4"/>
  <c r="M52" i="4" s="1"/>
  <c r="D52" i="4"/>
  <c r="L52" i="4" s="1"/>
  <c r="F51" i="4"/>
  <c r="N51" i="4" s="1"/>
  <c r="E51" i="4"/>
  <c r="M51" i="4"/>
  <c r="J51" i="4"/>
  <c r="R51" i="4" s="1"/>
  <c r="I51" i="4"/>
  <c r="Q51" i="4" s="1"/>
  <c r="H51" i="4"/>
  <c r="P51" i="4" s="1"/>
  <c r="G51" i="4"/>
  <c r="O51" i="4"/>
  <c r="D51" i="4"/>
  <c r="L51" i="4" s="1"/>
  <c r="H50" i="4"/>
  <c r="P50" i="4" s="1"/>
  <c r="J50" i="4"/>
  <c r="R50" i="4" s="1"/>
  <c r="I50" i="4"/>
  <c r="Q50" i="4"/>
  <c r="G50" i="4"/>
  <c r="O50" i="4" s="1"/>
  <c r="F50" i="4"/>
  <c r="N50" i="4" s="1"/>
  <c r="E50" i="4"/>
  <c r="M50" i="4" s="1"/>
  <c r="D50" i="4"/>
  <c r="L50" i="4"/>
  <c r="H49" i="4"/>
  <c r="P49" i="4" s="1"/>
  <c r="G49" i="4"/>
  <c r="O49" i="4" s="1"/>
  <c r="E49" i="4"/>
  <c r="M49" i="4" s="1"/>
  <c r="J49" i="4"/>
  <c r="R49" i="4"/>
  <c r="I49" i="4"/>
  <c r="Q49" i="4" s="1"/>
  <c r="F49" i="4"/>
  <c r="N49" i="4" s="1"/>
  <c r="D49" i="4"/>
  <c r="L49" i="4" s="1"/>
  <c r="J48" i="4"/>
  <c r="R48" i="4"/>
  <c r="I48" i="4"/>
  <c r="Q48" i="4" s="1"/>
  <c r="H48" i="4"/>
  <c r="P48" i="4" s="1"/>
  <c r="G48" i="4"/>
  <c r="O48" i="4" s="1"/>
  <c r="F48" i="4"/>
  <c r="N48" i="4"/>
  <c r="E48" i="4"/>
  <c r="M48" i="4" s="1"/>
  <c r="D48" i="4"/>
  <c r="L48" i="4" s="1"/>
  <c r="F47" i="4"/>
  <c r="N47" i="4" s="1"/>
  <c r="J47" i="4"/>
  <c r="R47" i="4"/>
  <c r="I47" i="4"/>
  <c r="Q47" i="4" s="1"/>
  <c r="H47" i="4"/>
  <c r="P47" i="4" s="1"/>
  <c r="G47" i="4"/>
  <c r="O47" i="4" s="1"/>
  <c r="E47" i="4"/>
  <c r="M47" i="4"/>
  <c r="D47" i="4"/>
  <c r="L47" i="4" s="1"/>
  <c r="G46" i="4"/>
  <c r="O46" i="4" s="1"/>
  <c r="F46" i="4"/>
  <c r="N46" i="4" s="1"/>
  <c r="D46" i="4"/>
  <c r="L46" i="4"/>
  <c r="J46" i="4"/>
  <c r="R46" i="4" s="1"/>
  <c r="I46" i="4"/>
  <c r="Q46" i="4" s="1"/>
  <c r="H46" i="4"/>
  <c r="P46" i="4" s="1"/>
  <c r="E46" i="4"/>
  <c r="M46" i="4"/>
  <c r="J39" i="4"/>
  <c r="J44" i="4" s="1"/>
  <c r="R44" i="4" s="1"/>
  <c r="I39" i="4"/>
  <c r="I44" i="4" s="1"/>
  <c r="Q44" i="4" s="1"/>
  <c r="H39" i="4"/>
  <c r="H44" i="4" s="1"/>
  <c r="P44" i="4" s="1"/>
  <c r="G39" i="4"/>
  <c r="G44" i="4" s="1"/>
  <c r="O44" i="4" s="1"/>
  <c r="F39" i="4"/>
  <c r="F44" i="4" s="1"/>
  <c r="N39" i="4"/>
  <c r="E39" i="4"/>
  <c r="E44" i="4" s="1"/>
  <c r="M44" i="4" s="1"/>
  <c r="D39" i="4"/>
  <c r="D44" i="4" s="1"/>
  <c r="J38" i="4"/>
  <c r="R38" i="4" s="1"/>
  <c r="I38" i="4"/>
  <c r="Q38" i="4" s="1"/>
  <c r="H38" i="4"/>
  <c r="P38" i="4" s="1"/>
  <c r="G38" i="4"/>
  <c r="O38" i="4"/>
  <c r="F38" i="4"/>
  <c r="N38" i="4" s="1"/>
  <c r="E38" i="4"/>
  <c r="M38" i="4" s="1"/>
  <c r="D38" i="4"/>
  <c r="L38" i="4" s="1"/>
  <c r="I37" i="4"/>
  <c r="Q37" i="4"/>
  <c r="E37" i="4"/>
  <c r="M37" i="4" s="1"/>
  <c r="D37" i="4"/>
  <c r="L37" i="4" s="1"/>
  <c r="J37" i="4"/>
  <c r="R37" i="4" s="1"/>
  <c r="H37" i="4"/>
  <c r="P37" i="4"/>
  <c r="G37" i="4"/>
  <c r="O37" i="4" s="1"/>
  <c r="F37" i="4"/>
  <c r="N37" i="4" s="1"/>
  <c r="J36" i="4"/>
  <c r="R36" i="4" s="1"/>
  <c r="G36" i="4"/>
  <c r="O36" i="4"/>
  <c r="I36" i="4"/>
  <c r="H36" i="4"/>
  <c r="P36" i="4" s="1"/>
  <c r="F36" i="4"/>
  <c r="N36" i="4"/>
  <c r="E36" i="4"/>
  <c r="M36" i="4" s="1"/>
  <c r="D36" i="4"/>
  <c r="L36" i="4" s="1"/>
  <c r="J25" i="4"/>
  <c r="R25" i="4" s="1"/>
  <c r="I25" i="4"/>
  <c r="Q25" i="4"/>
  <c r="H25" i="4"/>
  <c r="P25" i="4" s="1"/>
  <c r="G25" i="4"/>
  <c r="O25" i="4" s="1"/>
  <c r="F25" i="4"/>
  <c r="N25" i="4" s="1"/>
  <c r="E25" i="4"/>
  <c r="M25" i="4"/>
  <c r="D25" i="4"/>
  <c r="L25" i="4" s="1"/>
  <c r="J23" i="4"/>
  <c r="R23" i="4" s="1"/>
  <c r="I23" i="4"/>
  <c r="Q23" i="4" s="1"/>
  <c r="H23" i="4"/>
  <c r="P23" i="4"/>
  <c r="G23" i="4"/>
  <c r="O23" i="4" s="1"/>
  <c r="F23" i="4"/>
  <c r="N23" i="4" s="1"/>
  <c r="E23" i="4"/>
  <c r="M23" i="4" s="1"/>
  <c r="D23" i="4"/>
  <c r="L23" i="4"/>
  <c r="H22" i="4"/>
  <c r="P22" i="4" s="1"/>
  <c r="D22" i="4"/>
  <c r="L22" i="4" s="1"/>
  <c r="J22" i="4"/>
  <c r="R22" i="4" s="1"/>
  <c r="I22" i="4"/>
  <c r="Q22" i="4"/>
  <c r="G22" i="4"/>
  <c r="O22" i="4" s="1"/>
  <c r="F22" i="4"/>
  <c r="N22" i="4" s="1"/>
  <c r="E22" i="4"/>
  <c r="M22" i="4" s="1"/>
  <c r="I21" i="4"/>
  <c r="Q21" i="4"/>
  <c r="H21" i="4"/>
  <c r="P21" i="4" s="1"/>
  <c r="F21" i="4"/>
  <c r="N21" i="4" s="1"/>
  <c r="J21" i="4"/>
  <c r="R21" i="4" s="1"/>
  <c r="G21" i="4"/>
  <c r="O21" i="4"/>
  <c r="E21" i="4"/>
  <c r="M21" i="4" s="1"/>
  <c r="D21" i="4"/>
  <c r="L21" i="4" s="1"/>
  <c r="F20" i="4"/>
  <c r="N20" i="4" s="1"/>
  <c r="J20" i="4"/>
  <c r="R20" i="4"/>
  <c r="I20" i="4"/>
  <c r="Q20" i="4" s="1"/>
  <c r="H20" i="4"/>
  <c r="P20" i="4" s="1"/>
  <c r="G20" i="4"/>
  <c r="O20" i="4" s="1"/>
  <c r="E20" i="4"/>
  <c r="M20" i="4"/>
  <c r="D20" i="4"/>
  <c r="L20" i="4" s="1"/>
  <c r="J19" i="4"/>
  <c r="R19" i="4" s="1"/>
  <c r="I19" i="4"/>
  <c r="Q19" i="4" s="1"/>
  <c r="H19" i="4"/>
  <c r="P19" i="4"/>
  <c r="G19" i="4"/>
  <c r="O19" i="4" s="1"/>
  <c r="F19" i="4"/>
  <c r="N19" i="4" s="1"/>
  <c r="E19" i="4"/>
  <c r="M19" i="4" s="1"/>
  <c r="D19" i="4"/>
  <c r="L19" i="4"/>
  <c r="E18" i="4"/>
  <c r="M18" i="4" s="1"/>
  <c r="J18" i="4"/>
  <c r="R18" i="4" s="1"/>
  <c r="I18" i="4"/>
  <c r="Q18" i="4" s="1"/>
  <c r="H18" i="4"/>
  <c r="P18" i="4"/>
  <c r="G18" i="4"/>
  <c r="O18" i="4" s="1"/>
  <c r="F18" i="4"/>
  <c r="N18" i="4" s="1"/>
  <c r="D18" i="4"/>
  <c r="L18" i="4" s="1"/>
  <c r="E17" i="4"/>
  <c r="M17" i="4"/>
  <c r="J17" i="4"/>
  <c r="R17" i="4" s="1"/>
  <c r="I17" i="4"/>
  <c r="Q17" i="4" s="1"/>
  <c r="H17" i="4"/>
  <c r="P17" i="4" s="1"/>
  <c r="G17" i="4"/>
  <c r="O17" i="4"/>
  <c r="F17" i="4"/>
  <c r="N17" i="4" s="1"/>
  <c r="D17" i="4"/>
  <c r="L17" i="4" s="1"/>
  <c r="E10" i="4"/>
  <c r="M10" i="4" s="1"/>
  <c r="J10" i="4"/>
  <c r="R10" i="4" s="1"/>
  <c r="J15" i="4"/>
  <c r="R15" i="4" s="1"/>
  <c r="I10" i="4"/>
  <c r="I15" i="4" s="1"/>
  <c r="Q15" i="4" s="1"/>
  <c r="H10" i="4"/>
  <c r="H15" i="4" s="1"/>
  <c r="G10" i="4"/>
  <c r="G15" i="4" s="1"/>
  <c r="O15" i="4" s="1"/>
  <c r="F10" i="4"/>
  <c r="F15" i="4"/>
  <c r="N15" i="4" s="1"/>
  <c r="D10" i="4"/>
  <c r="L10" i="4" s="1"/>
  <c r="F9" i="4"/>
  <c r="N9" i="4" s="1"/>
  <c r="J9" i="4"/>
  <c r="R9" i="4" s="1"/>
  <c r="I9" i="4"/>
  <c r="Q9" i="4"/>
  <c r="H9" i="4"/>
  <c r="P9" i="4" s="1"/>
  <c r="G9" i="4"/>
  <c r="O9" i="4" s="1"/>
  <c r="E9" i="4"/>
  <c r="M9" i="4" s="1"/>
  <c r="D9" i="4"/>
  <c r="L9" i="4" s="1"/>
  <c r="J8" i="4"/>
  <c r="R8" i="4"/>
  <c r="I8" i="4"/>
  <c r="Q8" i="4" s="1"/>
  <c r="H8" i="4"/>
  <c r="P8" i="4" s="1"/>
  <c r="G8" i="4"/>
  <c r="O8" i="4" s="1"/>
  <c r="F8" i="4"/>
  <c r="N8" i="4" s="1"/>
  <c r="E8" i="4"/>
  <c r="M8" i="4" s="1"/>
  <c r="D8" i="4"/>
  <c r="L8" i="4" s="1"/>
  <c r="G7" i="4"/>
  <c r="O7" i="4" s="1"/>
  <c r="E7" i="4"/>
  <c r="M7" i="4"/>
  <c r="D7" i="4"/>
  <c r="L7" i="4" s="1"/>
  <c r="J7" i="4"/>
  <c r="R7" i="4" s="1"/>
  <c r="I7" i="4"/>
  <c r="Q7" i="4" s="1"/>
  <c r="H7" i="4"/>
  <c r="P7" i="4" s="1"/>
  <c r="F7" i="4"/>
  <c r="N58" i="3"/>
  <c r="L58" i="3"/>
  <c r="J58" i="3"/>
  <c r="H58" i="3"/>
  <c r="F58" i="3"/>
  <c r="D58" i="3"/>
  <c r="O46" i="3"/>
  <c r="N10" i="4"/>
  <c r="O39" i="4"/>
  <c r="N7" i="4"/>
  <c r="P10" i="4"/>
  <c r="M39" i="4"/>
  <c r="P15" i="4" l="1"/>
  <c r="H26" i="4"/>
  <c r="H55" i="4"/>
  <c r="R39" i="4"/>
  <c r="P39" i="4"/>
  <c r="O55" i="4"/>
  <c r="N55" i="4"/>
  <c r="R55" i="4"/>
  <c r="R26" i="4"/>
  <c r="N26" i="4"/>
  <c r="E55" i="4"/>
  <c r="F26" i="4"/>
  <c r="P55" i="4"/>
  <c r="Q39" i="4"/>
  <c r="P26" i="4"/>
  <c r="J26" i="4"/>
  <c r="Q10" i="4"/>
  <c r="Q26" i="4" s="1"/>
  <c r="E15" i="4"/>
  <c r="M15" i="4" s="1"/>
  <c r="M55" i="4"/>
  <c r="I55" i="4"/>
  <c r="J55" i="4"/>
  <c r="G55" i="4"/>
  <c r="L26" i="4"/>
  <c r="L44" i="4"/>
  <c r="D55" i="4"/>
  <c r="M26" i="4"/>
  <c r="N44" i="4"/>
  <c r="F55" i="4"/>
  <c r="L39" i="4"/>
  <c r="L55" i="4" s="1"/>
  <c r="G26" i="4"/>
  <c r="O10" i="4"/>
  <c r="O26" i="4" s="1"/>
  <c r="I26" i="4"/>
  <c r="Q36" i="4"/>
  <c r="D15" i="4"/>
  <c r="L15" i="4" s="1"/>
  <c r="E14" i="3"/>
  <c r="G14" i="3" s="1"/>
  <c r="K38" i="9"/>
  <c r="K41" i="9"/>
  <c r="I38" i="9"/>
  <c r="I41" i="9"/>
  <c r="O38" i="9"/>
  <c r="O41" i="9"/>
  <c r="F38" i="9"/>
  <c r="F46" i="9"/>
  <c r="F41" i="9"/>
  <c r="G38" i="9"/>
  <c r="G46" i="9"/>
  <c r="F82" i="9"/>
  <c r="D72" i="9"/>
  <c r="D41" i="9" s="1"/>
  <c r="T36" i="9"/>
  <c r="W36" i="9" s="1"/>
  <c r="D38" i="9"/>
  <c r="G11" i="3"/>
  <c r="E12" i="3"/>
  <c r="G12" i="3" s="1"/>
  <c r="E13" i="3"/>
  <c r="G13" i="3" s="1"/>
  <c r="C43" i="3"/>
  <c r="C44" i="3"/>
  <c r="C45" i="3"/>
  <c r="I42" i="3"/>
  <c r="I43" i="3"/>
  <c r="I44" i="3"/>
  <c r="Q55" i="4" l="1"/>
  <c r="E26" i="4"/>
  <c r="D26" i="4"/>
  <c r="E27" i="3"/>
  <c r="F84" i="9"/>
  <c r="G82" i="9"/>
  <c r="I82" i="9" s="1"/>
  <c r="I84" i="9" s="1"/>
  <c r="J84" i="9" s="1"/>
  <c r="I52" i="9" s="1"/>
  <c r="M12" i="3"/>
  <c r="M14" i="3"/>
  <c r="M11" i="3"/>
  <c r="M13" i="3"/>
  <c r="M47" i="3"/>
  <c r="I46" i="3"/>
  <c r="M54" i="3"/>
  <c r="M57" i="3"/>
  <c r="O58" i="3"/>
  <c r="C58" i="3"/>
  <c r="S36" i="4" s="1"/>
  <c r="M56" i="3"/>
  <c r="C46" i="3"/>
  <c r="E43" i="3"/>
  <c r="E44" i="3"/>
  <c r="E45" i="3"/>
  <c r="E42" i="3"/>
  <c r="E15" i="3"/>
  <c r="G15" i="3" s="1"/>
  <c r="K44" i="3"/>
  <c r="K43" i="3"/>
  <c r="K42" i="3"/>
  <c r="K45" i="3"/>
  <c r="M48" i="3"/>
  <c r="M55" i="3"/>
  <c r="O14" i="3"/>
  <c r="O11" i="3"/>
  <c r="O12" i="3"/>
  <c r="O13" i="3"/>
  <c r="I12" i="3"/>
  <c r="I13" i="3"/>
  <c r="I14" i="3"/>
  <c r="I11" i="3"/>
  <c r="M52" i="3"/>
  <c r="S40" i="4" l="1"/>
  <c r="S42" i="4"/>
  <c r="S41" i="4"/>
  <c r="S51" i="4"/>
  <c r="U12" i="4"/>
  <c r="W12" i="4" s="1"/>
  <c r="U11" i="4"/>
  <c r="W11" i="4" s="1"/>
  <c r="U22" i="4"/>
  <c r="W22" i="4" s="1"/>
  <c r="I62" i="9"/>
  <c r="I58" i="9"/>
  <c r="I57" i="9"/>
  <c r="I60" i="9"/>
  <c r="I56" i="9"/>
  <c r="I55" i="9"/>
  <c r="I59" i="9"/>
  <c r="I64" i="9"/>
  <c r="I63" i="9"/>
  <c r="I68" i="9"/>
  <c r="I65" i="9"/>
  <c r="I66" i="9"/>
  <c r="I61" i="9"/>
  <c r="I69" i="9"/>
  <c r="I67" i="9"/>
  <c r="C12" i="3"/>
  <c r="C13" i="3"/>
  <c r="C14" i="3"/>
  <c r="M42" i="3"/>
  <c r="M15" i="3"/>
  <c r="M46" i="3" s="1"/>
  <c r="E46" i="3"/>
  <c r="E58" i="3"/>
  <c r="U45" i="4" s="1"/>
  <c r="W45" i="4" s="1"/>
  <c r="I27" i="3"/>
  <c r="Y12" i="4" s="1"/>
  <c r="M45" i="3"/>
  <c r="I15" i="3"/>
  <c r="U20" i="4"/>
  <c r="W20" i="4" s="1"/>
  <c r="S50" i="4"/>
  <c r="S37" i="4"/>
  <c r="S52" i="4"/>
  <c r="C61" i="3"/>
  <c r="S38" i="4"/>
  <c r="S48" i="4"/>
  <c r="S54" i="4"/>
  <c r="S47" i="4"/>
  <c r="S53" i="4"/>
  <c r="S46" i="4"/>
  <c r="S45" i="4"/>
  <c r="S44" i="4"/>
  <c r="AE51" i="4"/>
  <c r="AE49" i="4"/>
  <c r="AE42" i="4"/>
  <c r="AE46" i="4"/>
  <c r="AE53" i="4"/>
  <c r="AE39" i="4"/>
  <c r="AE40" i="4"/>
  <c r="AE38" i="4"/>
  <c r="AE48" i="4"/>
  <c r="AE37" i="4"/>
  <c r="AE54" i="4"/>
  <c r="AE41" i="4"/>
  <c r="AE36" i="4"/>
  <c r="AE44" i="4"/>
  <c r="O61" i="3"/>
  <c r="AE47" i="4"/>
  <c r="AE50" i="4"/>
  <c r="M43" i="3"/>
  <c r="G27" i="3"/>
  <c r="U41" i="4"/>
  <c r="W41" i="4" s="1"/>
  <c r="G58" i="3"/>
  <c r="O15" i="3"/>
  <c r="E30" i="3"/>
  <c r="U17" i="4"/>
  <c r="W17" i="4" s="1"/>
  <c r="U13" i="4"/>
  <c r="W13" i="4" s="1"/>
  <c r="U7" i="4"/>
  <c r="W7" i="4" s="1"/>
  <c r="U25" i="4"/>
  <c r="W25" i="4" s="1"/>
  <c r="U23" i="4"/>
  <c r="W23" i="4" s="1"/>
  <c r="U9" i="4"/>
  <c r="W9" i="4" s="1"/>
  <c r="U24" i="4"/>
  <c r="W24" i="4" s="1"/>
  <c r="U21" i="4"/>
  <c r="W21" i="4" s="1"/>
  <c r="U15" i="4"/>
  <c r="W15" i="4" s="1"/>
  <c r="U16" i="4"/>
  <c r="W16" i="4" s="1"/>
  <c r="K46" i="3"/>
  <c r="K58" i="3"/>
  <c r="AA41" i="4" s="1"/>
  <c r="U42" i="4"/>
  <c r="W42" i="4" s="1"/>
  <c r="U8" i="4"/>
  <c r="W8" i="4" s="1"/>
  <c r="AE45" i="4"/>
  <c r="S49" i="4"/>
  <c r="I58" i="3"/>
  <c r="M44" i="3"/>
  <c r="U18" i="4"/>
  <c r="W18" i="4" s="1"/>
  <c r="U19" i="4"/>
  <c r="W19" i="4" s="1"/>
  <c r="S43" i="4" l="1"/>
  <c r="U14" i="4"/>
  <c r="W14" i="4" s="1"/>
  <c r="U40" i="4"/>
  <c r="W40" i="4" s="1"/>
  <c r="S55" i="4"/>
  <c r="S57" i="4" s="1"/>
  <c r="I72" i="9"/>
  <c r="Q41" i="9" s="1"/>
  <c r="AE55" i="4"/>
  <c r="AE57" i="4" s="1"/>
  <c r="AE43" i="4"/>
  <c r="U36" i="4"/>
  <c r="W36" i="4" s="1"/>
  <c r="U37" i="4"/>
  <c r="W37" i="4" s="1"/>
  <c r="E61" i="3"/>
  <c r="U52" i="4"/>
  <c r="W52" i="4" s="1"/>
  <c r="U47" i="4"/>
  <c r="W47" i="4" s="1"/>
  <c r="U48" i="4"/>
  <c r="W48" i="4" s="1"/>
  <c r="U46" i="4"/>
  <c r="W46" i="4" s="1"/>
  <c r="U50" i="4"/>
  <c r="W50" i="4" s="1"/>
  <c r="U38" i="4"/>
  <c r="W38" i="4" s="1"/>
  <c r="U44" i="4"/>
  <c r="W44" i="4" s="1"/>
  <c r="U51" i="4"/>
  <c r="W51" i="4" s="1"/>
  <c r="U53" i="4"/>
  <c r="W53" i="4" s="1"/>
  <c r="U54" i="4"/>
  <c r="W54" i="4" s="1"/>
  <c r="I61" i="3"/>
  <c r="Y38" i="4"/>
  <c r="Y46" i="4"/>
  <c r="Y37" i="4"/>
  <c r="Y50" i="4"/>
  <c r="Y53" i="4"/>
  <c r="Y42" i="4"/>
  <c r="Y54" i="4"/>
  <c r="Y52" i="4"/>
  <c r="Y45" i="4"/>
  <c r="Y48" i="4"/>
  <c r="Y44" i="4"/>
  <c r="Y51" i="4"/>
  <c r="Y47" i="4"/>
  <c r="Y40" i="4"/>
  <c r="Y39" i="4"/>
  <c r="Y41" i="4"/>
  <c r="K61" i="3"/>
  <c r="AA54" i="4"/>
  <c r="AA52" i="4"/>
  <c r="AA51" i="4"/>
  <c r="AA46" i="4"/>
  <c r="AA38" i="4"/>
  <c r="AA36" i="4"/>
  <c r="AA50" i="4"/>
  <c r="AA49" i="4"/>
  <c r="AA47" i="4"/>
  <c r="AA48" i="4"/>
  <c r="AA53" i="4"/>
  <c r="AA45" i="4"/>
  <c r="AA37" i="4"/>
  <c r="AA44" i="4"/>
  <c r="G61" i="3"/>
  <c r="AA39" i="4"/>
  <c r="U26" i="4"/>
  <c r="U28" i="4" s="1"/>
  <c r="AA40" i="4"/>
  <c r="AA42" i="4"/>
  <c r="G30" i="3"/>
  <c r="Y17" i="4"/>
  <c r="Y25" i="4"/>
  <c r="I30" i="3"/>
  <c r="Y22" i="4"/>
  <c r="Y16" i="4"/>
  <c r="Y21" i="4"/>
  <c r="Y8" i="4"/>
  <c r="Y20" i="4"/>
  <c r="Y24" i="4"/>
  <c r="Y23" i="4"/>
  <c r="Y15" i="4"/>
  <c r="Y19" i="4"/>
  <c r="Y18" i="4"/>
  <c r="Y9" i="4"/>
  <c r="Y49" i="4"/>
  <c r="Y13" i="4"/>
  <c r="Y10" i="4"/>
  <c r="Y7" i="4"/>
  <c r="U49" i="4"/>
  <c r="W49" i="4" s="1"/>
  <c r="Y11" i="4"/>
  <c r="C15" i="3"/>
  <c r="C27" i="3"/>
  <c r="U43" i="4" l="1"/>
  <c r="W43" i="4" s="1"/>
  <c r="Y14" i="4"/>
  <c r="U55" i="4"/>
  <c r="U57" i="4" s="1"/>
  <c r="W26" i="4"/>
  <c r="W28" i="4" s="1"/>
  <c r="W55" i="4"/>
  <c r="W57" i="4" s="1"/>
  <c r="AA55" i="4"/>
  <c r="AA57" i="4" s="1"/>
  <c r="Y43" i="4"/>
  <c r="Y55" i="4"/>
  <c r="Y57" i="4" s="1"/>
  <c r="S17" i="4"/>
  <c r="C30" i="3"/>
  <c r="S23" i="4"/>
  <c r="S18" i="4"/>
  <c r="S19" i="4"/>
  <c r="S9" i="4"/>
  <c r="S8" i="4"/>
  <c r="S20" i="4"/>
  <c r="S16" i="4"/>
  <c r="S24" i="4"/>
  <c r="S25" i="4"/>
  <c r="S22" i="4"/>
  <c r="S21" i="4"/>
  <c r="S12" i="4"/>
  <c r="Y26" i="4"/>
  <c r="Y28" i="4" s="1"/>
  <c r="S11" i="4"/>
  <c r="AA43" i="4"/>
  <c r="S13" i="4"/>
  <c r="M53" i="3" l="1"/>
  <c r="K11" i="3"/>
  <c r="K12" i="3"/>
  <c r="K14" i="3"/>
  <c r="K13" i="3"/>
  <c r="O27" i="3"/>
  <c r="S14" i="4"/>
  <c r="S26" i="4"/>
  <c r="S28" i="4" s="1"/>
  <c r="AE16" i="4" l="1"/>
  <c r="M51" i="3"/>
  <c r="M41" i="3"/>
  <c r="M49" i="3"/>
  <c r="K27" i="3"/>
  <c r="AA18" i="4" s="1"/>
  <c r="K15" i="3"/>
  <c r="AA10" i="4"/>
  <c r="M50" i="3"/>
  <c r="AA13" i="4"/>
  <c r="AA12" i="4"/>
  <c r="M40" i="3"/>
  <c r="O30" i="3"/>
  <c r="AE9" i="4"/>
  <c r="AE24" i="4"/>
  <c r="AE7" i="4"/>
  <c r="AE8" i="4"/>
  <c r="AE25" i="4"/>
  <c r="AE21" i="4"/>
  <c r="AE22" i="4"/>
  <c r="AE19" i="4"/>
  <c r="AE18" i="4"/>
  <c r="AE15" i="4"/>
  <c r="AE17" i="4"/>
  <c r="AE12" i="4"/>
  <c r="AE13" i="4"/>
  <c r="AE10" i="4"/>
  <c r="AE11" i="4"/>
  <c r="AA9" i="4"/>
  <c r="M39" i="3"/>
  <c r="M27" i="3"/>
  <c r="AA11" i="4"/>
  <c r="AE20" i="4"/>
  <c r="AE14" i="4" l="1"/>
  <c r="AA17" i="4"/>
  <c r="M30" i="3"/>
  <c r="AC16" i="4"/>
  <c r="AC25" i="4"/>
  <c r="AC22" i="4"/>
  <c r="AC24" i="4"/>
  <c r="AC20" i="4"/>
  <c r="AC15" i="4"/>
  <c r="AC23" i="4"/>
  <c r="AC11" i="4"/>
  <c r="AC12" i="4"/>
  <c r="AC13" i="4"/>
  <c r="AC21" i="4"/>
  <c r="AA14" i="4"/>
  <c r="AC9" i="4"/>
  <c r="M58" i="3"/>
  <c r="AC37" i="4" s="1"/>
  <c r="AC18" i="4"/>
  <c r="AC17" i="4"/>
  <c r="AA24" i="4"/>
  <c r="AA25" i="4"/>
  <c r="AA23" i="4"/>
  <c r="AA22" i="4"/>
  <c r="AA20" i="4"/>
  <c r="K30" i="3"/>
  <c r="AA16" i="4"/>
  <c r="AA21" i="4"/>
  <c r="AA15" i="4"/>
  <c r="AC19" i="4"/>
  <c r="AC7" i="4"/>
  <c r="AE26" i="4"/>
  <c r="AE28" i="4" s="1"/>
  <c r="AC8" i="4"/>
  <c r="AA8" i="4"/>
  <c r="AA7" i="4"/>
  <c r="AA19" i="4"/>
  <c r="AC38" i="4" l="1"/>
  <c r="AC48" i="4"/>
  <c r="AC46" i="4"/>
  <c r="AA26" i="4"/>
  <c r="AA28" i="4" s="1"/>
  <c r="AC26" i="4"/>
  <c r="AC28" i="4" s="1"/>
  <c r="AC47" i="4"/>
  <c r="AC36" i="4"/>
  <c r="M61" i="3"/>
  <c r="AC52" i="4"/>
  <c r="AC45" i="4"/>
  <c r="AC53" i="4"/>
  <c r="AC54" i="4"/>
  <c r="AC51" i="4"/>
  <c r="AC44" i="4"/>
  <c r="AC49" i="4"/>
  <c r="AC42" i="4"/>
  <c r="AC40" i="4"/>
  <c r="AC41" i="4"/>
  <c r="AC50" i="4"/>
  <c r="AC14" i="4"/>
  <c r="AC43" i="4" s="1"/>
  <c r="AC55" i="4" l="1"/>
  <c r="AC57" i="4" s="1"/>
</calcChain>
</file>

<file path=xl/sharedStrings.xml><?xml version="1.0" encoding="utf-8"?>
<sst xmlns="http://schemas.openxmlformats.org/spreadsheetml/2006/main" count="1167" uniqueCount="383">
  <si>
    <t>The Ohio State University</t>
  </si>
  <si>
    <t>Summary of Projected Benefit Costs</t>
  </si>
  <si>
    <t>by Rate Group</t>
  </si>
  <si>
    <t>% Change</t>
  </si>
  <si>
    <t>Faculty</t>
  </si>
  <si>
    <t>Unclassified</t>
  </si>
  <si>
    <t>Classified Civil Service</t>
  </si>
  <si>
    <t>Specials</t>
  </si>
  <si>
    <t>Students</t>
  </si>
  <si>
    <t>PD Fellows</t>
  </si>
  <si>
    <t>Grad Assistants</t>
  </si>
  <si>
    <t>Totals</t>
  </si>
  <si>
    <t>Primary</t>
  </si>
  <si>
    <t>% Rate/</t>
  </si>
  <si>
    <t>Rate 1</t>
  </si>
  <si>
    <t>Rate 11</t>
  </si>
  <si>
    <t>Rate 2</t>
  </si>
  <si>
    <t>Rate 12</t>
  </si>
  <si>
    <t>Rate 3</t>
  </si>
  <si>
    <t>Rate 13</t>
  </si>
  <si>
    <t>Rate 4</t>
  </si>
  <si>
    <t>Rate 14</t>
  </si>
  <si>
    <t>Rate 5</t>
  </si>
  <si>
    <t>Rate 15</t>
  </si>
  <si>
    <t>Rate 6</t>
  </si>
  <si>
    <t>Rate 16</t>
  </si>
  <si>
    <t>Rate 7</t>
  </si>
  <si>
    <t>Rate 17</t>
  </si>
  <si>
    <t>Cost Driver</t>
  </si>
  <si>
    <t>Cost per Head</t>
  </si>
  <si>
    <t>UNIV/RF</t>
  </si>
  <si>
    <t>Health System</t>
  </si>
  <si>
    <t>Projected Salary</t>
  </si>
  <si>
    <t>Headcount (benefit-eligible FTE)</t>
  </si>
  <si>
    <t>HR Projected Costs</t>
  </si>
  <si>
    <t>Difference</t>
  </si>
  <si>
    <t>STRS</t>
  </si>
  <si>
    <t>Salary $</t>
  </si>
  <si>
    <t>PERS</t>
  </si>
  <si>
    <t>HR est inflated by headcounts and possibly above-guideline raises in HS</t>
  </si>
  <si>
    <t>Medicare</t>
  </si>
  <si>
    <t>Group Life</t>
  </si>
  <si>
    <t>Disability</t>
  </si>
  <si>
    <t>Unemployment Comp</t>
  </si>
  <si>
    <t>Workers Comp-UNIV/RF</t>
  </si>
  <si>
    <t>Workers Comp-Health System</t>
  </si>
  <si>
    <t>Other Benefit Admin Costs</t>
  </si>
  <si>
    <t>HR medical plan cost projection (below) also includes these general benefit admin costs</t>
  </si>
  <si>
    <t>Student Insurance</t>
  </si>
  <si>
    <t>Medical Plans</t>
  </si>
  <si>
    <t>Headcount</t>
  </si>
  <si>
    <t>Affordable Care Act Fees</t>
  </si>
  <si>
    <t>Vision</t>
  </si>
  <si>
    <t>Dental</t>
  </si>
  <si>
    <t>Employee Tuition</t>
  </si>
  <si>
    <t>Dependent Tuition (UNIV-HS only)</t>
  </si>
  <si>
    <t>Total Projected Benefit Costs</t>
  </si>
  <si>
    <t>Projected Rates (excluding Stabilization DR/CR)</t>
  </si>
  <si>
    <t>Total Projected Benefit Costs - UNIV only</t>
  </si>
  <si>
    <t>Total Projected Salary/Wages - UNIV only</t>
  </si>
  <si>
    <t>Projected Benefit Costs - RF Only:</t>
  </si>
  <si>
    <t>(UNIV/RF break-out by % of Projected Salary for Rates 1-4)</t>
  </si>
  <si>
    <t>(see below for Rate 5 % calc…)</t>
  </si>
  <si>
    <t>Combined 5/6/7</t>
  </si>
  <si>
    <t>COBRA Admin/Other Admin Costs</t>
  </si>
  <si>
    <t>NOTE: No dependent tuition costs included in RF rates</t>
  </si>
  <si>
    <t>Total Projected Benefit Costs (excluding add-ons)</t>
  </si>
  <si>
    <t>Total Projected RF Salary/Wages</t>
  </si>
  <si>
    <t>Rate 5 - Student/Grad/Fellow Weighted Average:</t>
  </si>
  <si>
    <t>Projected UNIV</t>
  </si>
  <si>
    <t>Total Projected</t>
  </si>
  <si>
    <t>Projected</t>
  </si>
  <si>
    <t>RF Projected</t>
  </si>
  <si>
    <t>Salary</t>
  </si>
  <si>
    <t>UNIV Benefit</t>
  </si>
  <si>
    <t>Benefit Cost</t>
  </si>
  <si>
    <t>Benefit</t>
  </si>
  <si>
    <t>RF Salary</t>
  </si>
  <si>
    <t>(incl. RF)</t>
  </si>
  <si>
    <t>Costs (incl. RF)</t>
  </si>
  <si>
    <t>per $ of Salary</t>
  </si>
  <si>
    <t>Costs</t>
  </si>
  <si>
    <t>% for Proration</t>
  </si>
  <si>
    <t>Students (undergrads) and Fellows</t>
  </si>
  <si>
    <t>Graduate Assistants</t>
  </si>
  <si>
    <t xml:space="preserve">    Total for RF Rate 5</t>
  </si>
  <si>
    <t>FY06</t>
  </si>
  <si>
    <t>OVERHEAD</t>
  </si>
  <si>
    <t>(FY05 - FY04)</t>
  </si>
  <si>
    <t>PERCENT</t>
  </si>
  <si>
    <t>UNIVERSITY</t>
  </si>
  <si>
    <t>DIFFERENCE</t>
  </si>
  <si>
    <t>CHANGE</t>
  </si>
  <si>
    <t>RATE 1</t>
  </si>
  <si>
    <t>RATE 2</t>
  </si>
  <si>
    <t>RATE 3</t>
  </si>
  <si>
    <t>RATE 4</t>
  </si>
  <si>
    <t>Non-student</t>
  </si>
  <si>
    <t>RATE 5</t>
  </si>
  <si>
    <t>Student</t>
  </si>
  <si>
    <t>RATE 6</t>
  </si>
  <si>
    <t>Post Doc Fellows</t>
  </si>
  <si>
    <t>RATE 7</t>
  </si>
  <si>
    <t>GA Students</t>
  </si>
  <si>
    <t>RATE 11</t>
  </si>
  <si>
    <t>RATE 12</t>
  </si>
  <si>
    <t>RATE 13</t>
  </si>
  <si>
    <t>RATE 14</t>
  </si>
  <si>
    <t>RATE 15</t>
  </si>
  <si>
    <t>RATE 16</t>
  </si>
  <si>
    <t>RATE 17</t>
  </si>
  <si>
    <t>Student, Grad, Fellow Combined</t>
  </si>
  <si>
    <t>FACULTY</t>
  </si>
  <si>
    <t>NON-STUDENT</t>
  </si>
  <si>
    <t>STUDENT</t>
  </si>
  <si>
    <t>POST DOC</t>
  </si>
  <si>
    <t>GA STUDENT</t>
  </si>
  <si>
    <t>MEDICARE</t>
  </si>
  <si>
    <t>Prime Care Advantage</t>
  </si>
  <si>
    <t>Prime Care Choice</t>
  </si>
  <si>
    <t>Out-Of-Area Plan</t>
  </si>
  <si>
    <t>Prime Care Connect</t>
  </si>
  <si>
    <t>Subtotal</t>
  </si>
  <si>
    <t>MEDICAL</t>
  </si>
  <si>
    <t>Benefit Admin</t>
  </si>
  <si>
    <t>GROUP LIFE</t>
  </si>
  <si>
    <t>LT DISABILITY</t>
  </si>
  <si>
    <t>UNEMPLOYMENT COMP.</t>
  </si>
  <si>
    <t>WORKERS COMP</t>
  </si>
  <si>
    <t>GROUP VISION</t>
  </si>
  <si>
    <t>GROUP DENTAL</t>
  </si>
  <si>
    <t>GA Hlth Ins Subsidy</t>
  </si>
  <si>
    <t>EMPLOYEE TUITION</t>
  </si>
  <si>
    <t>DEPENDENT TUITION</t>
  </si>
  <si>
    <t>PUBLISHED RATE</t>
  </si>
  <si>
    <t>Rate</t>
  </si>
  <si>
    <t>ADJUSTED FOR ROUNDING</t>
  </si>
  <si>
    <t>AS DELIVERED</t>
  </si>
  <si>
    <t>Formula sum Med</t>
  </si>
  <si>
    <t>Pool Account</t>
  </si>
  <si>
    <t>Classified</t>
  </si>
  <si>
    <t>Non-Student</t>
  </si>
  <si>
    <t>Post Doc</t>
  </si>
  <si>
    <t>GA Student</t>
  </si>
  <si>
    <t>010102</t>
  </si>
  <si>
    <t>010101</t>
  </si>
  <si>
    <t>010111</t>
  </si>
  <si>
    <t>060633</t>
  </si>
  <si>
    <t>060614</t>
  </si>
  <si>
    <t>060637</t>
  </si>
  <si>
    <t>060632</t>
  </si>
  <si>
    <t>060624</t>
  </si>
  <si>
    <t>060605</t>
  </si>
  <si>
    <t>DISABILITY</t>
  </si>
  <si>
    <t>010105</t>
  </si>
  <si>
    <t>UNEMPLOYMENT COMP</t>
  </si>
  <si>
    <t>060600</t>
  </si>
  <si>
    <t>060601</t>
  </si>
  <si>
    <t>VISION</t>
  </si>
  <si>
    <t>060606</t>
  </si>
  <si>
    <t>DENTAL</t>
  </si>
  <si>
    <t>060607</t>
  </si>
  <si>
    <t>STUDENT INSURANCE</t>
  </si>
  <si>
    <t>060631</t>
  </si>
  <si>
    <t>060603</t>
  </si>
  <si>
    <t>060602</t>
  </si>
  <si>
    <t>TOTAL</t>
  </si>
  <si>
    <t>Formula sum total</t>
  </si>
  <si>
    <t>Description</t>
  </si>
  <si>
    <t>60022</t>
  </si>
  <si>
    <t>9 Month Regular Faculty</t>
  </si>
  <si>
    <t>9 Month Reg Research Track</t>
  </si>
  <si>
    <t>60026</t>
  </si>
  <si>
    <t>9 Month Reg Clinical Track</t>
  </si>
  <si>
    <t>60033</t>
  </si>
  <si>
    <t>12 Month Regular Faculty</t>
  </si>
  <si>
    <t>12 Month Reg Research Track</t>
  </si>
  <si>
    <t>60036</t>
  </si>
  <si>
    <t>12 Month Reg Clinical Track</t>
  </si>
  <si>
    <t>60044</t>
  </si>
  <si>
    <t>Unclassified Regular&gt;=50%</t>
  </si>
  <si>
    <t>60045</t>
  </si>
  <si>
    <t>Post Doc Researcher&gt;=50%</t>
  </si>
  <si>
    <t>60046</t>
  </si>
  <si>
    <t>Associate/Scientist</t>
  </si>
  <si>
    <t>60047</t>
  </si>
  <si>
    <t>Unclassified Staff Overtime</t>
  </si>
  <si>
    <t>60055</t>
  </si>
  <si>
    <t>60057</t>
  </si>
  <si>
    <t>Classified Staff Overtime</t>
  </si>
  <si>
    <t>RCP8</t>
  </si>
  <si>
    <t>60061</t>
  </si>
  <si>
    <t>Faculty Group Practice RCP8</t>
  </si>
  <si>
    <t>RCP10</t>
  </si>
  <si>
    <t>60062</t>
  </si>
  <si>
    <t>Faculty Group Practice RCP10</t>
  </si>
  <si>
    <t>RCP14</t>
  </si>
  <si>
    <t>60063</t>
  </si>
  <si>
    <t>Faculty Group Practice RCP14</t>
  </si>
  <si>
    <t>RCP15</t>
  </si>
  <si>
    <t>60064</t>
  </si>
  <si>
    <t>Faculty Group Practice RCP15</t>
  </si>
  <si>
    <t>RCP20</t>
  </si>
  <si>
    <t>60065</t>
  </si>
  <si>
    <t>Faculty Group Practice RCP20</t>
  </si>
  <si>
    <t>RCP STRS</t>
  </si>
  <si>
    <t>60066</t>
  </si>
  <si>
    <t>Faculty Grp Practice STRS/ARP</t>
  </si>
  <si>
    <t>RCP25</t>
  </si>
  <si>
    <t>60067</t>
  </si>
  <si>
    <t>Faculty Group Practice RCP25</t>
  </si>
  <si>
    <t>60071</t>
  </si>
  <si>
    <t>Faculty Temp or Term&lt;49%</t>
  </si>
  <si>
    <t>60072</t>
  </si>
  <si>
    <t>Faculty Term&gt;=50%</t>
  </si>
  <si>
    <t>60073</t>
  </si>
  <si>
    <t>Clinical Inst House Staff&gt;=50%</t>
  </si>
  <si>
    <t>60074</t>
  </si>
  <si>
    <t>Clinical Inst House Staff&lt;50%</t>
  </si>
  <si>
    <t>60075</t>
  </si>
  <si>
    <t>Auxiliary Clinical&gt;=50%</t>
  </si>
  <si>
    <t>60081</t>
  </si>
  <si>
    <t>Unclassified Temp or &lt;50%</t>
  </si>
  <si>
    <t>60082</t>
  </si>
  <si>
    <t>Unclassified Term or &gt;=75%</t>
  </si>
  <si>
    <t>60083</t>
  </si>
  <si>
    <t>Classified Temp or &lt;50%</t>
  </si>
  <si>
    <t>60091</t>
  </si>
  <si>
    <t>Graduate Teaching Associate</t>
  </si>
  <si>
    <t>60092</t>
  </si>
  <si>
    <t>Graduate Research Associate</t>
  </si>
  <si>
    <t>60093</t>
  </si>
  <si>
    <t>Graduate Admin Associate</t>
  </si>
  <si>
    <t>60111</t>
  </si>
  <si>
    <t>Additional Pay w/o Retirement</t>
  </si>
  <si>
    <t>60112</t>
  </si>
  <si>
    <t>Staff Awards</t>
  </si>
  <si>
    <t>60113</t>
  </si>
  <si>
    <t>Student Awards</t>
  </si>
  <si>
    <t>Retirement Incentive</t>
  </si>
  <si>
    <t>60121</t>
  </si>
  <si>
    <t>Additional Pay w/Retirement</t>
  </si>
  <si>
    <t>60122</t>
  </si>
  <si>
    <t>Supplemental Compensation</t>
  </si>
  <si>
    <t>60123</t>
  </si>
  <si>
    <t>Off-Duty Quarter Support</t>
  </si>
  <si>
    <t>60131</t>
  </si>
  <si>
    <t>Student (non-GA/non-FWSP)</t>
  </si>
  <si>
    <t>60132</t>
  </si>
  <si>
    <t>Student Overtime</t>
  </si>
  <si>
    <t>60135</t>
  </si>
  <si>
    <t>Under Enrolled/Non Fee Pd Stdt</t>
  </si>
  <si>
    <t>Student Federal Workstudy</t>
  </si>
  <si>
    <t>60156</t>
  </si>
  <si>
    <t>Workstudy Underenroll/Non Fee</t>
  </si>
  <si>
    <t>GTA-Workstudy</t>
  </si>
  <si>
    <t>60158</t>
  </si>
  <si>
    <t>GRA-Workstudy</t>
  </si>
  <si>
    <t>GAA-Workstudy</t>
  </si>
  <si>
    <t>Student Fellowships</t>
  </si>
  <si>
    <t>Student Trainee</t>
  </si>
  <si>
    <t>65214</t>
  </si>
  <si>
    <t>Post-Doctoral Fellowships</t>
  </si>
  <si>
    <t>60155</t>
  </si>
  <si>
    <t>60157</t>
  </si>
  <si>
    <t>60159</t>
  </si>
  <si>
    <t>Proj Avg Sal per FTE -FY17</t>
  </si>
  <si>
    <t>Group Practice</t>
  </si>
  <si>
    <t>Proj Avg Sal per FTE -FY18</t>
  </si>
  <si>
    <t>UNIV/OSP</t>
  </si>
  <si>
    <t>Projected Combined Staff Rate (Unclassified and CCS)</t>
  </si>
  <si>
    <t>Combined Staff</t>
  </si>
  <si>
    <t>Staff Combined</t>
  </si>
  <si>
    <t>Staff Comb</t>
  </si>
  <si>
    <t>Distribution of 18-19 Composite Benefit Rates</t>
  </si>
  <si>
    <t>2018 - 2019</t>
  </si>
  <si>
    <t>COMPOSITE BENEFIT RATES</t>
  </si>
  <si>
    <t>SALARY YEAR</t>
  </si>
  <si>
    <t>ENDING</t>
  </si>
  <si>
    <t>FISCAL YEAR</t>
  </si>
  <si>
    <t>OFFICE OF SPONSORED PROGRAMS</t>
  </si>
  <si>
    <t>Composite Benefit Rates</t>
  </si>
  <si>
    <t>Salary Year</t>
  </si>
  <si>
    <t>Ending 8/31/17</t>
  </si>
  <si>
    <t>Ending 8/31/18</t>
  </si>
  <si>
    <t>Ending 8/31/19</t>
  </si>
  <si>
    <t>60222</t>
  </si>
  <si>
    <t>60025</t>
  </si>
  <si>
    <t>60225</t>
  </si>
  <si>
    <t>60226</t>
  </si>
  <si>
    <t>NCH Rate</t>
  </si>
  <si>
    <t>60027</t>
  </si>
  <si>
    <t>9 Month NCH Faculty</t>
  </si>
  <si>
    <t>60227</t>
  </si>
  <si>
    <t>60233</t>
  </si>
  <si>
    <t>60035</t>
  </si>
  <si>
    <t>60235</t>
  </si>
  <si>
    <t>60236</t>
  </si>
  <si>
    <t>60037</t>
  </si>
  <si>
    <t>12 Month NCH Faculty</t>
  </si>
  <si>
    <t>60237</t>
  </si>
  <si>
    <t>60244</t>
  </si>
  <si>
    <t>60245</t>
  </si>
  <si>
    <t>60246</t>
  </si>
  <si>
    <t>60247</t>
  </si>
  <si>
    <t>Classified Regular&gt;=50%</t>
  </si>
  <si>
    <t>60255</t>
  </si>
  <si>
    <t>60257</t>
  </si>
  <si>
    <t>60261</t>
  </si>
  <si>
    <t>60262</t>
  </si>
  <si>
    <t>60263</t>
  </si>
  <si>
    <t>60264</t>
  </si>
  <si>
    <t>60265</t>
  </si>
  <si>
    <t>60266</t>
  </si>
  <si>
    <t>60267</t>
  </si>
  <si>
    <t>RCP NewHire</t>
  </si>
  <si>
    <t>60068</t>
  </si>
  <si>
    <t>Fac Group Practice - New Hires</t>
  </si>
  <si>
    <t>60268</t>
  </si>
  <si>
    <t>60271</t>
  </si>
  <si>
    <t>60272</t>
  </si>
  <si>
    <t>60273</t>
  </si>
  <si>
    <t>60274</t>
  </si>
  <si>
    <t>60275</t>
  </si>
  <si>
    <t>60281</t>
  </si>
  <si>
    <t>60282</t>
  </si>
  <si>
    <t>60283</t>
  </si>
  <si>
    <t>60291</t>
  </si>
  <si>
    <t>60292</t>
  </si>
  <si>
    <t>60293</t>
  </si>
  <si>
    <t>60101</t>
  </si>
  <si>
    <t>9 Month Faculty - RT</t>
  </si>
  <si>
    <t>60301</t>
  </si>
  <si>
    <t>60102</t>
  </si>
  <si>
    <t>12 Month Faculty - RT</t>
  </si>
  <si>
    <t>60302</t>
  </si>
  <si>
    <t>60103</t>
  </si>
  <si>
    <t>Admin &amp; Prof Staff - RT</t>
  </si>
  <si>
    <t>60303</t>
  </si>
  <si>
    <t>60104</t>
  </si>
  <si>
    <t>CCS Staff - RT</t>
  </si>
  <si>
    <t>60304</t>
  </si>
  <si>
    <t>60107</t>
  </si>
  <si>
    <t>Faculty Term - RT</t>
  </si>
  <si>
    <t>60307</t>
  </si>
  <si>
    <t>60311</t>
  </si>
  <si>
    <t>60312</t>
  </si>
  <si>
    <t>60313</t>
  </si>
  <si>
    <t>60119</t>
  </si>
  <si>
    <t>60319</t>
  </si>
  <si>
    <t>60321</t>
  </si>
  <si>
    <t>60322</t>
  </si>
  <si>
    <t>60323</t>
  </si>
  <si>
    <t>60331</t>
  </si>
  <si>
    <t>60332</t>
  </si>
  <si>
    <t>60335</t>
  </si>
  <si>
    <t>60355</t>
  </si>
  <si>
    <t>60356</t>
  </si>
  <si>
    <t>60357</t>
  </si>
  <si>
    <t>60358</t>
  </si>
  <si>
    <t>60359</t>
  </si>
  <si>
    <t>65222</t>
  </si>
  <si>
    <t>65223</t>
  </si>
  <si>
    <t>65215</t>
  </si>
  <si>
    <t>Account</t>
  </si>
  <si>
    <t>UNIVERSITY Salary and Benefit Accounts and Composite Benefit Rates (applies to all funds except Hxxxxx and 590000)</t>
  </si>
  <si>
    <t>Fiscal Year</t>
  </si>
  <si>
    <t>Ending 6/30/17</t>
  </si>
  <si>
    <t>Ending 6/30/18</t>
  </si>
  <si>
    <t>Ending 6/30/19</t>
  </si>
  <si>
    <t>OSP Salary and Benefit Accounts and Composite Benefit Rates (applies to Office of Sponsored Programs fund 590000)</t>
  </si>
  <si>
    <t>OSU WEXNER MEDICAL CENTER HEALTH SYSTEM</t>
  </si>
  <si>
    <t>BENEFIT COMPOSITE RATES AND COMPONENTS FOR 2018-2019</t>
  </si>
  <si>
    <t>FOR HEALTH SYSTEM (SEPARATE RATES FOR UNIVERSITY)</t>
  </si>
  <si>
    <t>FOR UNIVERSITY (SEPARATE RATES FOR HEALTH SYSTEM)</t>
  </si>
  <si>
    <t>UNIVERSITY (Excludes Health System)</t>
  </si>
  <si>
    <t>HEALTH SYSTEM (Excludes University)</t>
  </si>
  <si>
    <t>UNIV</t>
  </si>
  <si>
    <t>Rate Group</t>
  </si>
  <si>
    <t>OSUMC</t>
  </si>
  <si>
    <t>OSP</t>
  </si>
  <si>
    <t>OSUMC Salary and Benefit Programs and Composite Benefit Rates (applies to Health System Hxxxxx funds)</t>
  </si>
  <si>
    <t>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</si>
</sst>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"/>
    <numFmt numFmtId="168" formatCode="0.000%"/>
    <numFmt numFmtId="169" formatCode="0.0000%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Garamond"/>
      <family val="1"/>
    </font>
    <font>
      <sz val="12"/>
      <name val="Garamond"/>
      <family val="1"/>
    </font>
    <font>
      <b/>
      <u/>
      <sz val="13"/>
      <name val="Garamond"/>
      <family val="1"/>
    </font>
    <font>
      <sz val="13"/>
      <name val="Garamond"/>
      <family val="1"/>
    </font>
    <font>
      <b/>
      <sz val="13"/>
      <name val="Garamond"/>
      <family val="1"/>
    </font>
    <font>
      <b/>
      <u/>
      <sz val="14"/>
      <name val="Garamond"/>
      <family val="1"/>
    </font>
    <font>
      <b/>
      <vertAlign val="superscript"/>
      <sz val="13"/>
      <name val="Garamond"/>
      <family val="1"/>
    </font>
    <font>
      <vertAlign val="superscript"/>
      <sz val="13"/>
      <name val="Garamond"/>
      <family val="1"/>
    </font>
    <font>
      <b/>
      <sz val="12"/>
      <name val="Garamond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20"/>
      <name val="Garamond"/>
      <family val="1"/>
    </font>
    <font>
      <b/>
      <u/>
      <sz val="12"/>
      <name val="Times New Roman"/>
      <family val="1"/>
    </font>
    <font>
      <sz val="11"/>
      <name val="Garamond"/>
      <family val="1"/>
    </font>
    <font>
      <i/>
      <u/>
      <sz val="12"/>
      <name val="Garamond"/>
      <family val="1"/>
    </font>
    <font>
      <u/>
      <sz val="12"/>
      <name val="Garamond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 Unicode MS"/>
      <family val="2"/>
    </font>
    <font>
      <b/>
      <sz val="1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2" fillId="0" borderId="18">
      <alignment horizontal="center"/>
    </xf>
    <xf numFmtId="0" fontId="23" fillId="0" borderId="0" applyNumberFormat="0" applyFont="0" applyFill="0" applyBorder="0" applyAlignment="0" applyProtection="0">
      <alignment horizontal="left"/>
    </xf>
    <xf numFmtId="4" fontId="23" fillId="0" borderId="0" applyFont="0" applyFill="0" applyBorder="0" applyAlignment="0" applyProtection="0"/>
    <xf numFmtId="0" fontId="24" fillId="0" borderId="0"/>
    <xf numFmtId="0" fontId="4" fillId="0" borderId="0"/>
    <xf numFmtId="9" fontId="25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164" fontId="0" fillId="0" borderId="0" xfId="1" applyNumberFormat="1" applyFont="1"/>
    <xf numFmtId="165" fontId="0" fillId="0" borderId="0" xfId="3" applyNumberFormat="1" applyFont="1"/>
    <xf numFmtId="166" fontId="0" fillId="0" borderId="0" xfId="2" applyNumberFormat="1" applyFont="1"/>
    <xf numFmtId="164" fontId="0" fillId="0" borderId="5" xfId="1" applyNumberFormat="1" applyFont="1" applyBorder="1"/>
    <xf numFmtId="164" fontId="0" fillId="0" borderId="0" xfId="1" applyNumberFormat="1" applyFont="1" applyBorder="1"/>
    <xf numFmtId="165" fontId="0" fillId="0" borderId="0" xfId="3" applyNumberFormat="1" applyFont="1" applyBorder="1"/>
    <xf numFmtId="10" fontId="0" fillId="0" borderId="0" xfId="3" applyNumberFormat="1" applyFont="1" applyAlignment="1">
      <alignment horizontal="center"/>
    </xf>
    <xf numFmtId="10" fontId="0" fillId="0" borderId="3" xfId="3" applyNumberFormat="1" applyFont="1" applyBorder="1" applyAlignment="1">
      <alignment horizontal="center"/>
    </xf>
    <xf numFmtId="164" fontId="0" fillId="0" borderId="6" xfId="1" applyNumberFormat="1" applyFont="1" applyBorder="1"/>
    <xf numFmtId="43" fontId="0" fillId="0" borderId="0" xfId="1" applyNumberFormat="1" applyFont="1"/>
    <xf numFmtId="164" fontId="0" fillId="0" borderId="4" xfId="1" applyNumberFormat="1" applyFont="1" applyBorder="1"/>
    <xf numFmtId="164" fontId="0" fillId="0" borderId="3" xfId="1" applyNumberFormat="1" applyFont="1" applyBorder="1"/>
    <xf numFmtId="10" fontId="0" fillId="0" borderId="3" xfId="3" applyNumberFormat="1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165" fontId="8" fillId="0" borderId="0" xfId="3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10" fontId="6" fillId="0" borderId="0" xfId="3" applyNumberFormat="1" applyFont="1" applyBorder="1" applyAlignment="1">
      <alignment horizontal="center"/>
    </xf>
    <xf numFmtId="0" fontId="6" fillId="0" borderId="0" xfId="0" applyFont="1" applyBorder="1" applyAlignment="1"/>
    <xf numFmtId="165" fontId="8" fillId="0" borderId="0" xfId="3" applyNumberFormat="1" applyFont="1" applyBorder="1"/>
    <xf numFmtId="165" fontId="8" fillId="0" borderId="0" xfId="3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6" fillId="0" borderId="0" xfId="0" applyFont="1" applyFill="1" applyBorder="1"/>
    <xf numFmtId="0" fontId="8" fillId="0" borderId="0" xfId="0" applyFont="1" applyFill="1" applyBorder="1"/>
    <xf numFmtId="165" fontId="6" fillId="0" borderId="0" xfId="3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6" fillId="0" borderId="0" xfId="3" applyNumberFormat="1" applyFont="1" applyFill="1" applyBorder="1" applyAlignment="1">
      <alignment horizontal="center"/>
    </xf>
    <xf numFmtId="0" fontId="11" fillId="0" borderId="0" xfId="0" quotePrefix="1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0" xfId="3" applyNumberFormat="1" applyFont="1" applyFill="1" applyBorder="1"/>
    <xf numFmtId="0" fontId="12" fillId="0" borderId="0" xfId="0" applyFont="1" applyBorder="1" applyAlignment="1"/>
    <xf numFmtId="10" fontId="8" fillId="0" borderId="0" xfId="3" applyNumberFormat="1" applyFont="1" applyBorder="1"/>
    <xf numFmtId="0" fontId="1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Continuous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/>
    <xf numFmtId="0" fontId="13" fillId="4" borderId="0" xfId="0" applyFont="1" applyFill="1" applyBorder="1"/>
    <xf numFmtId="0" fontId="13" fillId="4" borderId="11" xfId="0" applyFont="1" applyFill="1" applyBorder="1"/>
    <xf numFmtId="0" fontId="13" fillId="4" borderId="12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6" fillId="0" borderId="14" xfId="0" applyFont="1" applyBorder="1"/>
    <xf numFmtId="165" fontId="6" fillId="0" borderId="3" xfId="3" applyNumberFormat="1" applyFont="1" applyBorder="1"/>
    <xf numFmtId="0" fontId="6" fillId="0" borderId="15" xfId="0" applyFont="1" applyBorder="1"/>
    <xf numFmtId="0" fontId="6" fillId="5" borderId="0" xfId="0" applyFont="1" applyFill="1" applyBorder="1"/>
    <xf numFmtId="165" fontId="6" fillId="5" borderId="3" xfId="3" applyNumberFormat="1" applyFont="1" applyFill="1" applyBorder="1"/>
    <xf numFmtId="167" fontId="6" fillId="0" borderId="0" xfId="0" applyNumberFormat="1" applyFont="1"/>
    <xf numFmtId="10" fontId="14" fillId="0" borderId="0" xfId="0" applyNumberFormat="1" applyFont="1" applyAlignment="1">
      <alignment horizontal="center"/>
    </xf>
    <xf numFmtId="168" fontId="6" fillId="0" borderId="0" xfId="3" applyNumberFormat="1" applyFont="1"/>
    <xf numFmtId="0" fontId="13" fillId="4" borderId="16" xfId="0" applyFont="1" applyFill="1" applyBorder="1"/>
    <xf numFmtId="165" fontId="13" fillId="4" borderId="3" xfId="3" applyNumberFormat="1" applyFont="1" applyFill="1" applyBorder="1"/>
    <xf numFmtId="10" fontId="15" fillId="0" borderId="0" xfId="0" applyNumberFormat="1" applyFont="1" applyAlignment="1">
      <alignment horizontal="center"/>
    </xf>
    <xf numFmtId="165" fontId="6" fillId="0" borderId="0" xfId="3" applyNumberFormat="1" applyFont="1"/>
    <xf numFmtId="0" fontId="13" fillId="4" borderId="3" xfId="0" applyFont="1" applyFill="1" applyBorder="1"/>
    <xf numFmtId="165" fontId="13" fillId="4" borderId="3" xfId="0" applyNumberFormat="1" applyFont="1" applyFill="1" applyBorder="1"/>
    <xf numFmtId="165" fontId="13" fillId="4" borderId="1" xfId="0" applyNumberFormat="1" applyFont="1" applyFill="1" applyBorder="1"/>
    <xf numFmtId="165" fontId="13" fillId="4" borderId="17" xfId="0" applyNumberFormat="1" applyFont="1" applyFill="1" applyBorder="1"/>
    <xf numFmtId="165" fontId="13" fillId="4" borderId="2" xfId="0" applyNumberFormat="1" applyFont="1" applyFill="1" applyBorder="1"/>
    <xf numFmtId="0" fontId="13" fillId="0" borderId="0" xfId="0" applyFont="1"/>
    <xf numFmtId="0" fontId="16" fillId="0" borderId="0" xfId="0" applyFont="1" applyAlignment="1">
      <alignment horizontal="center"/>
    </xf>
    <xf numFmtId="165" fontId="17" fillId="0" borderId="0" xfId="0" applyNumberFormat="1" applyFont="1"/>
    <xf numFmtId="165" fontId="6" fillId="0" borderId="0" xfId="0" applyNumberFormat="1" applyFont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0" fontId="6" fillId="0" borderId="0" xfId="0" applyNumberFormat="1" applyFont="1"/>
    <xf numFmtId="10" fontId="6" fillId="0" borderId="0" xfId="0" applyNumberFormat="1" applyFont="1" applyBorder="1"/>
    <xf numFmtId="165" fontId="14" fillId="0" borderId="0" xfId="3" applyNumberFormat="1" applyFont="1" applyAlignment="1">
      <alignment horizontal="center"/>
    </xf>
    <xf numFmtId="165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165" fontId="6" fillId="0" borderId="0" xfId="3" applyNumberFormat="1" applyFont="1" applyBorder="1"/>
    <xf numFmtId="169" fontId="6" fillId="0" borderId="0" xfId="3" applyNumberFormat="1" applyFont="1" applyBorder="1"/>
    <xf numFmtId="49" fontId="6" fillId="5" borderId="0" xfId="0" applyNumberFormat="1" applyFont="1" applyFill="1" applyBorder="1" applyAlignment="1">
      <alignment horizontal="center"/>
    </xf>
    <xf numFmtId="165" fontId="6" fillId="5" borderId="0" xfId="3" applyNumberFormat="1" applyFont="1" applyFill="1" applyBorder="1"/>
    <xf numFmtId="165" fontId="6" fillId="5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165" fontId="6" fillId="0" borderId="0" xfId="3" applyNumberFormat="1" applyFont="1" applyFill="1" applyBorder="1"/>
    <xf numFmtId="165" fontId="6" fillId="0" borderId="0" xfId="0" applyNumberFormat="1" applyFont="1" applyFill="1" applyBorder="1"/>
    <xf numFmtId="0" fontId="6" fillId="0" borderId="0" xfId="0" applyFont="1" applyFill="1" applyBorder="1" applyAlignment="1"/>
    <xf numFmtId="10" fontId="6" fillId="0" borderId="0" xfId="3" applyNumberFormat="1" applyFont="1" applyFill="1" applyBorder="1"/>
    <xf numFmtId="165" fontId="20" fillId="0" borderId="0" xfId="3" applyNumberFormat="1" applyFont="1" applyFill="1" applyBorder="1"/>
    <xf numFmtId="49" fontId="6" fillId="0" borderId="0" xfId="0" applyNumberFormat="1" applyFont="1" applyFill="1" applyBorder="1" applyAlignment="1">
      <alignment horizontal="center" wrapText="1"/>
    </xf>
    <xf numFmtId="10" fontId="6" fillId="0" borderId="0" xfId="3" applyNumberFormat="1" applyFont="1" applyBorder="1"/>
    <xf numFmtId="10" fontId="21" fillId="0" borderId="0" xfId="3" applyNumberFormat="1" applyFont="1" applyBorder="1"/>
    <xf numFmtId="49" fontId="24" fillId="0" borderId="0" xfId="8" applyNumberFormat="1"/>
    <xf numFmtId="165" fontId="3" fillId="0" borderId="0" xfId="3" applyNumberFormat="1" applyFont="1" applyBorder="1"/>
    <xf numFmtId="165" fontId="3" fillId="0" borderId="3" xfId="3" applyNumberFormat="1" applyFont="1" applyBorder="1"/>
    <xf numFmtId="165" fontId="3" fillId="0" borderId="0" xfId="3" applyNumberFormat="1" applyFont="1" applyBorder="1" applyAlignment="1">
      <alignment horizontal="center"/>
    </xf>
    <xf numFmtId="0" fontId="9" fillId="0" borderId="0" xfId="0" applyFont="1" applyBorder="1" applyAlignment="1"/>
    <xf numFmtId="0" fontId="3" fillId="0" borderId="0" xfId="9" applyFont="1"/>
    <xf numFmtId="0" fontId="4" fillId="0" borderId="0" xfId="9"/>
    <xf numFmtId="0" fontId="4" fillId="0" borderId="0" xfId="9" applyFont="1"/>
    <xf numFmtId="39" fontId="4" fillId="0" borderId="0" xfId="9" applyNumberFormat="1"/>
    <xf numFmtId="0" fontId="4" fillId="0" borderId="3" xfId="9" applyBorder="1" applyAlignment="1">
      <alignment horizontal="center"/>
    </xf>
    <xf numFmtId="0" fontId="4" fillId="2" borderId="0" xfId="9" applyFont="1" applyFill="1"/>
    <xf numFmtId="0" fontId="4" fillId="0" borderId="0" xfId="9" applyAlignment="1">
      <alignment horizontal="center"/>
    </xf>
    <xf numFmtId="0" fontId="3" fillId="0" borderId="0" xfId="9" applyFont="1" applyAlignment="1">
      <alignment horizontal="center"/>
    </xf>
    <xf numFmtId="0" fontId="4" fillId="0" borderId="4" xfId="9" applyBorder="1" applyAlignment="1">
      <alignment horizontal="center"/>
    </xf>
    <xf numFmtId="0" fontId="4" fillId="0" borderId="4" xfId="9" applyFont="1" applyBorder="1" applyAlignment="1">
      <alignment horizontal="center"/>
    </xf>
    <xf numFmtId="0" fontId="3" fillId="0" borderId="4" xfId="9" applyFont="1" applyBorder="1" applyAlignment="1">
      <alignment horizontal="center"/>
    </xf>
    <xf numFmtId="3" fontId="4" fillId="0" borderId="0" xfId="9" applyNumberFormat="1"/>
    <xf numFmtId="0" fontId="4" fillId="0" borderId="0" xfId="9" applyFont="1" applyAlignment="1">
      <alignment horizontal="center"/>
    </xf>
    <xf numFmtId="10" fontId="4" fillId="0" borderId="0" xfId="9" applyNumberFormat="1"/>
    <xf numFmtId="164" fontId="4" fillId="0" borderId="0" xfId="9" applyNumberFormat="1"/>
    <xf numFmtId="0" fontId="4" fillId="0" borderId="0" xfId="9" applyFill="1"/>
    <xf numFmtId="164" fontId="4" fillId="0" borderId="3" xfId="9" applyNumberFormat="1" applyBorder="1"/>
    <xf numFmtId="43" fontId="4" fillId="0" borderId="0" xfId="9" applyNumberFormat="1"/>
    <xf numFmtId="0" fontId="4" fillId="3" borderId="0" xfId="9" applyFill="1"/>
    <xf numFmtId="164" fontId="4" fillId="0" borderId="5" xfId="9" applyNumberFormat="1" applyBorder="1"/>
    <xf numFmtId="0" fontId="4" fillId="0" borderId="0" xfId="9" applyBorder="1" applyAlignment="1">
      <alignment horizontal="center"/>
    </xf>
    <xf numFmtId="37" fontId="4" fillId="0" borderId="4" xfId="9" applyNumberFormat="1" applyBorder="1" applyAlignment="1">
      <alignment horizontal="center"/>
    </xf>
    <xf numFmtId="37" fontId="4" fillId="0" borderId="4" xfId="9" applyNumberForma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1" xfId="9" applyBorder="1" applyAlignment="1">
      <alignment horizontal="center"/>
    </xf>
    <xf numFmtId="0" fontId="4" fillId="0" borderId="2" xfId="9" applyBorder="1" applyAlignment="1">
      <alignment horizontal="center"/>
    </xf>
    <xf numFmtId="0" fontId="4" fillId="0" borderId="17" xfId="9" applyBorder="1" applyAlignment="1">
      <alignment horizontal="center"/>
    </xf>
    <xf numFmtId="0" fontId="24" fillId="0" borderId="0" xfId="8"/>
    <xf numFmtId="0" fontId="25" fillId="0" borderId="1" xfId="8" applyFont="1" applyBorder="1" applyAlignment="1">
      <alignment horizontal="center"/>
    </xf>
    <xf numFmtId="0" fontId="25" fillId="0" borderId="17" xfId="8" applyFont="1" applyBorder="1" applyAlignment="1">
      <alignment horizontal="center"/>
    </xf>
    <xf numFmtId="0" fontId="25" fillId="0" borderId="2" xfId="8" applyFont="1" applyBorder="1" applyAlignment="1">
      <alignment horizontal="center"/>
    </xf>
    <xf numFmtId="0" fontId="24" fillId="0" borderId="0" xfId="8" applyAlignment="1">
      <alignment horizontal="center"/>
    </xf>
    <xf numFmtId="0" fontId="24" fillId="0" borderId="0" xfId="8" applyFont="1"/>
    <xf numFmtId="165" fontId="0" fillId="0" borderId="19" xfId="10" applyNumberFormat="1" applyFont="1" applyBorder="1" applyAlignment="1">
      <alignment horizontal="center"/>
    </xf>
    <xf numFmtId="165" fontId="0" fillId="0" borderId="0" xfId="10" applyNumberFormat="1" applyFont="1" applyBorder="1" applyAlignment="1">
      <alignment horizontal="center"/>
    </xf>
    <xf numFmtId="165" fontId="0" fillId="0" borderId="20" xfId="10" applyNumberFormat="1" applyFont="1" applyBorder="1" applyAlignment="1">
      <alignment horizontal="center"/>
    </xf>
    <xf numFmtId="0" fontId="4" fillId="0" borderId="0" xfId="11" applyFont="1" applyFill="1"/>
    <xf numFmtId="0" fontId="4" fillId="0" borderId="0" xfId="11" applyFont="1"/>
    <xf numFmtId="165" fontId="0" fillId="0" borderId="21" xfId="10" applyNumberFormat="1" applyFont="1" applyBorder="1" applyAlignment="1">
      <alignment horizontal="center"/>
    </xf>
    <xf numFmtId="165" fontId="0" fillId="0" borderId="22" xfId="10" applyNumberFormat="1" applyFont="1" applyBorder="1" applyAlignment="1">
      <alignment horizontal="center"/>
    </xf>
    <xf numFmtId="165" fontId="0" fillId="0" borderId="23" xfId="10" applyNumberFormat="1" applyFont="1" applyBorder="1" applyAlignment="1">
      <alignment horizontal="center"/>
    </xf>
    <xf numFmtId="0" fontId="25" fillId="0" borderId="0" xfId="8" applyFont="1"/>
    <xf numFmtId="0" fontId="25" fillId="0" borderId="0" xfId="8" applyFont="1" applyAlignment="1">
      <alignment horizontal="center"/>
    </xf>
    <xf numFmtId="0" fontId="25" fillId="0" borderId="18" xfId="8" applyFont="1" applyBorder="1" applyAlignment="1">
      <alignment horizontal="center"/>
    </xf>
    <xf numFmtId="0" fontId="25" fillId="0" borderId="18" xfId="8" applyFont="1" applyBorder="1"/>
    <xf numFmtId="49" fontId="24" fillId="0" borderId="0" xfId="8" applyNumberFormat="1" applyAlignment="1">
      <alignment horizontal="center"/>
    </xf>
    <xf numFmtId="165" fontId="0" fillId="0" borderId="0" xfId="10" applyNumberFormat="1" applyFont="1"/>
    <xf numFmtId="0" fontId="10" fillId="0" borderId="0" xfId="0" applyFont="1" applyFill="1" applyBorder="1"/>
    <xf numFmtId="0" fontId="6" fillId="0" borderId="4" xfId="0" applyFont="1" applyBorder="1"/>
    <xf numFmtId="0" fontId="19" fillId="0" borderId="4" xfId="0" applyFont="1" applyBorder="1" applyAlignment="1">
      <alignment horizontal="center"/>
    </xf>
    <xf numFmtId="0" fontId="6" fillId="0" borderId="4" xfId="0" applyFont="1" applyFill="1" applyBorder="1"/>
    <xf numFmtId="0" fontId="19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165" fontId="6" fillId="0" borderId="0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</cellXfs>
  <cellStyles count="12">
    <cellStyle name="Comma" xfId="1" builtinId="3"/>
    <cellStyle name="Currency" xfId="2" builtinId="4"/>
    <cellStyle name="Normal" xfId="0" builtinId="0"/>
    <cellStyle name="Normal 2" xfId="9"/>
    <cellStyle name="Normal 2 2" xfId="8"/>
    <cellStyle name="Normal 3" xfId="4"/>
    <cellStyle name="Normal 3 2" xfId="11"/>
    <cellStyle name="Percent" xfId="3" builtinId="5"/>
    <cellStyle name="Percent 2" xfId="10"/>
    <cellStyle name="PSChar" xfId="6"/>
    <cellStyle name="PSDec" xfId="7"/>
    <cellStyle name="PSHeading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enefits\BENSHARE\Finance\KG\Comp%20Rates\FY14\FY14%20Rate%20breakdown%20updated%20for%201-1-14%20chang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HR\Finance\Benefits\KG\Comp%20Rates\FY%2019\benefit_rate_calculation_18_19_updated_020118_19_20_Proj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Components 13-14"/>
      <sheetName val="Distribution 13-14 Final"/>
      <sheetName val="fy14_summary_bnft_projection"/>
    </sheetNames>
    <sheetDataSet>
      <sheetData sheetId="0"/>
      <sheetData sheetId="1">
        <row r="8">
          <cell r="C8">
            <v>0.14000000000000001</v>
          </cell>
          <cell r="E8">
            <v>0</v>
          </cell>
          <cell r="G8">
            <v>0</v>
          </cell>
          <cell r="I8">
            <v>0.14000000000000001</v>
          </cell>
          <cell r="K8">
            <v>0</v>
          </cell>
          <cell r="M8">
            <v>0</v>
          </cell>
          <cell r="O8">
            <v>0</v>
          </cell>
        </row>
        <row r="9">
          <cell r="C9">
            <v>0</v>
          </cell>
          <cell r="E9">
            <v>0.14000000000000001</v>
          </cell>
          <cell r="G9">
            <v>0.14000000000000001</v>
          </cell>
          <cell r="I9">
            <v>0</v>
          </cell>
          <cell r="K9">
            <v>1E-3</v>
          </cell>
          <cell r="M9">
            <v>0</v>
          </cell>
          <cell r="O9">
            <v>0</v>
          </cell>
        </row>
        <row r="10">
          <cell r="C10">
            <v>1.2999999999999999E-2</v>
          </cell>
          <cell r="E10">
            <v>1.2999999999999999E-2</v>
          </cell>
          <cell r="G10">
            <v>1.2999999999999999E-2</v>
          </cell>
          <cell r="I10">
            <v>1.2999999999999999E-2</v>
          </cell>
          <cell r="K10">
            <v>0</v>
          </cell>
          <cell r="M10">
            <v>0</v>
          </cell>
          <cell r="O10">
            <v>0</v>
          </cell>
        </row>
        <row r="11">
          <cell r="C11">
            <v>0.1</v>
          </cell>
          <cell r="E11">
            <v>0.14199999999999999</v>
          </cell>
          <cell r="G11">
            <v>0.223</v>
          </cell>
          <cell r="I11">
            <v>3.0000000000000001E-3</v>
          </cell>
          <cell r="K11">
            <v>0</v>
          </cell>
          <cell r="M11">
            <v>1.9E-2</v>
          </cell>
          <cell r="O11">
            <v>3.0000000000000001E-3</v>
          </cell>
        </row>
        <row r="18">
          <cell r="C18">
            <v>3.0000000000000001E-3</v>
          </cell>
          <cell r="E18">
            <v>3.0000000000000001E-3</v>
          </cell>
          <cell r="G18">
            <v>3.0000000000000001E-3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</row>
        <row r="19">
          <cell r="C19">
            <v>3.0000000000000001E-3</v>
          </cell>
          <cell r="E19">
            <v>3.0000000000000001E-3</v>
          </cell>
          <cell r="G19">
            <v>3.0000000000000001E-3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</row>
        <row r="20">
          <cell r="C20">
            <v>1E-3</v>
          </cell>
          <cell r="E20">
            <v>1E-3</v>
          </cell>
          <cell r="G20">
            <v>1E-3</v>
          </cell>
          <cell r="I20">
            <v>1E-3</v>
          </cell>
          <cell r="K20">
            <v>0</v>
          </cell>
          <cell r="M20">
            <v>0</v>
          </cell>
          <cell r="O20">
            <v>0</v>
          </cell>
        </row>
        <row r="21">
          <cell r="C21">
            <v>4.0000000000000001E-3</v>
          </cell>
          <cell r="E21">
            <v>4.0000000000000001E-3</v>
          </cell>
          <cell r="G21">
            <v>4.0000000000000001E-3</v>
          </cell>
          <cell r="I21">
            <v>4.0000000000000001E-3</v>
          </cell>
          <cell r="K21">
            <v>6.3710508486807616E-3</v>
          </cell>
          <cell r="M21">
            <v>0</v>
          </cell>
          <cell r="O21">
            <v>3.0000000000000001E-3</v>
          </cell>
        </row>
        <row r="22">
          <cell r="C22">
            <v>1E-3</v>
          </cell>
          <cell r="E22">
            <v>2E-3</v>
          </cell>
          <cell r="G22">
            <v>2E-3</v>
          </cell>
          <cell r="I22">
            <v>0</v>
          </cell>
          <cell r="K22">
            <v>0</v>
          </cell>
          <cell r="M22">
            <v>1E-3</v>
          </cell>
          <cell r="O22">
            <v>0</v>
          </cell>
        </row>
        <row r="23">
          <cell r="C23">
            <v>7.0000000000000001E-3</v>
          </cell>
          <cell r="E23">
            <v>0.01</v>
          </cell>
          <cell r="G23">
            <v>1.6E-2</v>
          </cell>
          <cell r="I23">
            <v>0</v>
          </cell>
          <cell r="K23">
            <v>0</v>
          </cell>
          <cell r="M23">
            <v>1E-3</v>
          </cell>
          <cell r="O23">
            <v>0</v>
          </cell>
        </row>
        <row r="24">
          <cell r="C24">
            <v>0</v>
          </cell>
          <cell r="E24">
            <v>0</v>
          </cell>
          <cell r="G24">
            <v>0</v>
          </cell>
          <cell r="I24">
            <v>0</v>
          </cell>
          <cell r="K24">
            <v>0</v>
          </cell>
          <cell r="M24">
            <v>0</v>
          </cell>
          <cell r="O24">
            <v>0.11600000000000001</v>
          </cell>
        </row>
        <row r="26">
          <cell r="C26">
            <v>5.0000000000000001E-3</v>
          </cell>
          <cell r="E26">
            <v>7.0000000000000001E-3</v>
          </cell>
          <cell r="G26">
            <v>0.01</v>
          </cell>
          <cell r="I26">
            <v>0</v>
          </cell>
          <cell r="K26">
            <v>0</v>
          </cell>
          <cell r="M26">
            <v>8.7364781384615493E-4</v>
          </cell>
          <cell r="O26">
            <v>0</v>
          </cell>
        </row>
        <row r="27">
          <cell r="C27">
            <v>0.29600000000000004</v>
          </cell>
          <cell r="E27">
            <v>0.35200000000000009</v>
          </cell>
          <cell r="G27">
            <v>0.45700000000000007</v>
          </cell>
          <cell r="I27">
            <v>0.16100000000000003</v>
          </cell>
          <cell r="K27">
            <v>7.3710508486807616E-3</v>
          </cell>
          <cell r="M27">
            <v>2.5873647813846157E-2</v>
          </cell>
          <cell r="O27">
            <v>0.12200000000000001</v>
          </cell>
        </row>
        <row r="39">
          <cell r="C39">
            <v>0.14000000000000001</v>
          </cell>
          <cell r="E39">
            <v>0</v>
          </cell>
          <cell r="G39">
            <v>0</v>
          </cell>
          <cell r="I39">
            <v>0.14000000000000001</v>
          </cell>
          <cell r="K39">
            <v>0</v>
          </cell>
          <cell r="M39">
            <v>0</v>
          </cell>
          <cell r="O39">
            <v>0</v>
          </cell>
        </row>
        <row r="40">
          <cell r="C40">
            <v>0</v>
          </cell>
          <cell r="E40">
            <v>0.14000000000000001</v>
          </cell>
          <cell r="G40">
            <v>0.14000000000000001</v>
          </cell>
          <cell r="I40">
            <v>0</v>
          </cell>
          <cell r="K40">
            <v>1E-3</v>
          </cell>
          <cell r="M40">
            <v>0</v>
          </cell>
          <cell r="O40">
            <v>0</v>
          </cell>
        </row>
        <row r="41">
          <cell r="C41">
            <v>1.2999999999999999E-2</v>
          </cell>
          <cell r="E41">
            <v>1.2999999999999999E-2</v>
          </cell>
          <cell r="G41">
            <v>1.2999999999999999E-2</v>
          </cell>
          <cell r="I41">
            <v>1.2999999999999999E-2</v>
          </cell>
          <cell r="K41">
            <v>0</v>
          </cell>
          <cell r="M41">
            <v>0</v>
          </cell>
          <cell r="O41">
            <v>0</v>
          </cell>
        </row>
        <row r="42">
          <cell r="C42">
            <v>0.153</v>
          </cell>
          <cell r="E42">
            <v>0.104</v>
          </cell>
          <cell r="G42">
            <v>0.219</v>
          </cell>
          <cell r="I42">
            <v>2E-3</v>
          </cell>
          <cell r="K42">
            <v>0</v>
          </cell>
          <cell r="M42">
            <v>1.9E-2</v>
          </cell>
          <cell r="O42">
            <v>2E-3</v>
          </cell>
        </row>
        <row r="49">
          <cell r="C49">
            <v>3.0000000000000001E-3</v>
          </cell>
          <cell r="E49">
            <v>3.0000000000000001E-3</v>
          </cell>
          <cell r="G49">
            <v>3.0000000000000001E-3</v>
          </cell>
          <cell r="I49">
            <v>0</v>
          </cell>
          <cell r="K49">
            <v>0</v>
          </cell>
          <cell r="M49">
            <v>0</v>
          </cell>
          <cell r="O49">
            <v>0</v>
          </cell>
        </row>
        <row r="50">
          <cell r="C50">
            <v>3.0000000000000001E-3</v>
          </cell>
          <cell r="E50">
            <v>3.0000000000000001E-3</v>
          </cell>
          <cell r="G50">
            <v>3.0000000000000001E-3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</row>
        <row r="51">
          <cell r="C51">
            <v>1E-3</v>
          </cell>
          <cell r="E51">
            <v>1E-3</v>
          </cell>
          <cell r="G51">
            <v>1E-3</v>
          </cell>
          <cell r="I51">
            <v>1E-3</v>
          </cell>
          <cell r="K51">
            <v>0</v>
          </cell>
          <cell r="M51">
            <v>0</v>
          </cell>
          <cell r="O51">
            <v>0</v>
          </cell>
        </row>
        <row r="52">
          <cell r="C52">
            <v>8.9999999999999993E-3</v>
          </cell>
          <cell r="E52">
            <v>8.9999999999999993E-3</v>
          </cell>
          <cell r="G52">
            <v>8.9999999999999993E-3</v>
          </cell>
          <cell r="I52">
            <v>9.9999999999999985E-3</v>
          </cell>
          <cell r="K52">
            <v>9.9999999999999985E-3</v>
          </cell>
          <cell r="M52">
            <v>0</v>
          </cell>
          <cell r="O52">
            <v>8.9999999999999993E-3</v>
          </cell>
        </row>
        <row r="53">
          <cell r="C53">
            <v>2E-3</v>
          </cell>
          <cell r="E53">
            <v>1E-3</v>
          </cell>
          <cell r="G53">
            <v>2E-3</v>
          </cell>
          <cell r="I53">
            <v>0</v>
          </cell>
          <cell r="K53">
            <v>0</v>
          </cell>
          <cell r="M53">
            <v>1E-3</v>
          </cell>
          <cell r="O53">
            <v>0</v>
          </cell>
        </row>
        <row r="54">
          <cell r="C54">
            <v>1.0999999999999999E-2</v>
          </cell>
          <cell r="E54">
            <v>7.0000000000000001E-3</v>
          </cell>
          <cell r="G54">
            <v>1.6E-2</v>
          </cell>
          <cell r="I54">
            <v>0</v>
          </cell>
          <cell r="K54">
            <v>0</v>
          </cell>
          <cell r="M54">
            <v>1E-3</v>
          </cell>
          <cell r="O54">
            <v>0</v>
          </cell>
        </row>
        <row r="55">
          <cell r="C55">
            <v>0</v>
          </cell>
          <cell r="E55">
            <v>0</v>
          </cell>
          <cell r="G55">
            <v>0</v>
          </cell>
          <cell r="I55">
            <v>0</v>
          </cell>
          <cell r="K55">
            <v>0</v>
          </cell>
          <cell r="M55">
            <v>0</v>
          </cell>
          <cell r="O55">
            <v>0.111</v>
          </cell>
        </row>
        <row r="57">
          <cell r="C57">
            <v>7.0000000000000001E-3</v>
          </cell>
          <cell r="E57">
            <v>4.0000000000000001E-3</v>
          </cell>
          <cell r="G57">
            <v>8.9999999999999993E-3</v>
          </cell>
          <cell r="I57">
            <v>0</v>
          </cell>
          <cell r="K57">
            <v>0</v>
          </cell>
          <cell r="M57">
            <v>8.7364781384615493E-4</v>
          </cell>
          <cell r="O57">
            <v>0</v>
          </cell>
        </row>
        <row r="58">
          <cell r="C58">
            <v>0.37100000000000011</v>
          </cell>
          <cell r="E58">
            <v>0.30500000000000005</v>
          </cell>
          <cell r="G58">
            <v>0.45500000000000007</v>
          </cell>
          <cell r="I58">
            <v>0.16600000000000004</v>
          </cell>
          <cell r="K58">
            <v>1.0999999999999999E-2</v>
          </cell>
          <cell r="M58">
            <v>2.5873647813846157E-2</v>
          </cell>
          <cell r="O58">
            <v>0.122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_Steps_032613"/>
      <sheetName val="SummarySchedules"/>
      <sheetName val="18_19_FGP_Rates"/>
      <sheetName val="fy_20_estimated_rates_cash"/>
      <sheetName val="fy20_summary_bnft_projection"/>
      <sheetName val="fy18_OSP_Proposed_Rates"/>
      <sheetName val="rate_stabilization_DR_CR"/>
      <sheetName val="fy19_summary_bnft_projection"/>
      <sheetName val="fy19_bnft_proj_by_component"/>
      <sheetName val="FY19_HR_cost_estimates"/>
      <sheetName val="FY18_Projection_updated_011817"/>
      <sheetName val="FY18_HR_cost_estimates"/>
      <sheetName val="FY17_HR_cost_estimates"/>
      <sheetName val="FY17_Salary"/>
      <sheetName val="FY16_OSP_Salary"/>
      <sheetName val="notes_flux_16_17"/>
      <sheetName val="fy15_salary"/>
      <sheetName val="fy15_OSP_salary"/>
      <sheetName val="fy19_salary_projection"/>
      <sheetName val="FY17_Alloc_Actual_Bnft_Cost"/>
      <sheetName val="FY17_actuals_summary"/>
      <sheetName val="FY17_actuals_by_fund"/>
      <sheetName val="FY16_actuals_summary"/>
      <sheetName val="FY16_actuals_by_fund"/>
      <sheetName val="FY17_bnft_charges"/>
      <sheetName val="FY15_actuals_ by_fund"/>
      <sheetName val="FGP_FY15_Expected vs Actual"/>
      <sheetName val="FY17_ben_admin"/>
      <sheetName val="FY16_Ben_Admin"/>
      <sheetName val="FY16_Med_Plans_Detail"/>
      <sheetName val="FY16_med_bnft_admin"/>
      <sheetName val="FY15_Ben_Admin_Costs"/>
      <sheetName val="Fy14_Ben_Admin_costs"/>
      <sheetName val="16_OSP_Vac_Sick"/>
      <sheetName val="15_OSP_Vac_Sick"/>
      <sheetName val="AU16_FTE_Total"/>
      <sheetName val="AU15_FTE_Total"/>
      <sheetName val="AU15_FTE_FGP"/>
      <sheetName val="SP15_FTE_Total"/>
      <sheetName val="SP15_FTE_FGP"/>
      <sheetName val="cash_liab_analysis_113017"/>
      <sheetName val="cash_liab_analysis_123117"/>
      <sheetName val="cash_liab_analysis_123116"/>
      <sheetName val="cash_liab_analysis_123115"/>
      <sheetName val="cash_liab_analysis_113015"/>
      <sheetName val="cash_liab_analysis_123114"/>
      <sheetName val="cash_liab_analysis_123113"/>
      <sheetName val="Notes"/>
      <sheetName val="Retirement_backpyts_11_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B21">
            <v>0.14050000000000001</v>
          </cell>
        </row>
        <row r="38">
          <cell r="B38">
            <v>0.14050000000000001</v>
          </cell>
        </row>
        <row r="57">
          <cell r="B57">
            <v>1.3178444793372832E-2</v>
          </cell>
        </row>
        <row r="73">
          <cell r="B73">
            <v>2.7220101728110571E-3</v>
          </cell>
        </row>
        <row r="89">
          <cell r="B89">
            <v>2.8496566859944348E-3</v>
          </cell>
        </row>
        <row r="105">
          <cell r="B105">
            <v>3.4534677399446917E-4</v>
          </cell>
        </row>
        <row r="121">
          <cell r="B121">
            <v>2.4899166408033214E-3</v>
          </cell>
        </row>
        <row r="137">
          <cell r="B137">
            <v>6.8281664819420133E-3</v>
          </cell>
        </row>
        <row r="153">
          <cell r="B153">
            <v>2.6164816044454099E-3</v>
          </cell>
        </row>
        <row r="169">
          <cell r="B169">
            <v>9.6035039947817244E-2</v>
          </cell>
        </row>
        <row r="186">
          <cell r="B186">
            <v>9597.7102780286696</v>
          </cell>
        </row>
        <row r="204">
          <cell r="B204">
            <v>11.573681532982873</v>
          </cell>
        </row>
        <row r="219">
          <cell r="B219">
            <v>49.511021899406565</v>
          </cell>
        </row>
        <row r="235">
          <cell r="B235">
            <v>486.86889544768519</v>
          </cell>
        </row>
        <row r="251">
          <cell r="B251">
            <v>828.2426568297102</v>
          </cell>
        </row>
        <row r="267">
          <cell r="B267">
            <v>326.597443875191</v>
          </cell>
        </row>
      </sheetData>
      <sheetData sheetId="9">
        <row r="26">
          <cell r="C26">
            <v>101090796.784776</v>
          </cell>
        </row>
        <row r="27">
          <cell r="C27">
            <v>246720389.65369201</v>
          </cell>
        </row>
        <row r="28">
          <cell r="C28">
            <v>32563806.264792003</v>
          </cell>
        </row>
        <row r="29">
          <cell r="C29">
            <v>282976980.22597504</v>
          </cell>
        </row>
        <row r="30">
          <cell r="C30">
            <v>341250</v>
          </cell>
        </row>
        <row r="31">
          <cell r="C31">
            <v>7284681.2408759994</v>
          </cell>
        </row>
        <row r="32">
          <cell r="C32">
            <v>6191619.8550840002</v>
          </cell>
        </row>
        <row r="33">
          <cell r="C33">
            <v>6603660</v>
          </cell>
        </row>
        <row r="34">
          <cell r="C34">
            <v>853348.45035599999</v>
          </cell>
        </row>
        <row r="35">
          <cell r="C35">
            <v>10526108.6</v>
          </cell>
        </row>
        <row r="36">
          <cell r="C36">
            <v>1431893.748871</v>
          </cell>
        </row>
        <row r="37">
          <cell r="C37">
            <v>14355329.382275</v>
          </cell>
        </row>
        <row r="38">
          <cell r="C38">
            <v>11261513.098727999</v>
          </cell>
        </row>
        <row r="39">
          <cell r="C39">
            <v>24420734.736624002</v>
          </cell>
        </row>
        <row r="40">
          <cell r="C40">
            <v>9629725.6326600015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8">
          <cell r="H18">
            <v>78174292.08761999</v>
          </cell>
        </row>
        <row r="23">
          <cell r="N23">
            <v>32992500.979999993</v>
          </cell>
        </row>
        <row r="25">
          <cell r="H25">
            <v>0.02</v>
          </cell>
        </row>
        <row r="27">
          <cell r="H27">
            <v>0.02</v>
          </cell>
        </row>
        <row r="29">
          <cell r="B29">
            <v>36609680.970575988</v>
          </cell>
          <cell r="C29">
            <v>83068737.883019909</v>
          </cell>
          <cell r="D29">
            <v>746100.66826800024</v>
          </cell>
          <cell r="E29">
            <v>22213403.459172003</v>
          </cell>
          <cell r="H29">
            <v>39677590.402883999</v>
          </cell>
        </row>
        <row r="32">
          <cell r="B32">
            <v>484850936.94966006</v>
          </cell>
          <cell r="C32">
            <v>630599834.88990116</v>
          </cell>
          <cell r="D32">
            <v>99633942.757331982</v>
          </cell>
          <cell r="E32">
            <v>117297493.57317603</v>
          </cell>
          <cell r="F32">
            <v>54733747.638203971</v>
          </cell>
          <cell r="G32">
            <v>1544391.473148</v>
          </cell>
          <cell r="H32">
            <v>117851882.490504</v>
          </cell>
        </row>
        <row r="34">
          <cell r="B34">
            <v>7.5507085127850357E-2</v>
          </cell>
          <cell r="C34">
            <v>0.13172971714704493</v>
          </cell>
          <cell r="D34">
            <v>7.488418581257995E-3</v>
          </cell>
          <cell r="E34">
            <v>0.18937662504539515</v>
          </cell>
        </row>
        <row r="46">
          <cell r="B46">
            <v>43091132.024339989</v>
          </cell>
          <cell r="C46">
            <v>697407070.23028767</v>
          </cell>
          <cell r="D46">
            <v>82170776.94541201</v>
          </cell>
          <cell r="E46">
            <v>79042794.369731978</v>
          </cell>
          <cell r="F46">
            <v>7271247.8457719991</v>
          </cell>
          <cell r="G46">
            <v>0</v>
          </cell>
          <cell r="H46">
            <v>74351.416104000004</v>
          </cell>
        </row>
        <row r="61">
          <cell r="B61">
            <v>257620870.50004792</v>
          </cell>
        </row>
      </sheetData>
      <sheetData sheetId="19">
        <row r="12">
          <cell r="D12">
            <v>4733</v>
          </cell>
          <cell r="E12">
            <v>730</v>
          </cell>
          <cell r="F12">
            <v>9283</v>
          </cell>
          <cell r="G12">
            <v>9398</v>
          </cell>
          <cell r="H12">
            <v>521</v>
          </cell>
          <cell r="I12">
            <v>2491</v>
          </cell>
          <cell r="J12">
            <v>2325</v>
          </cell>
          <cell r="O12">
            <v>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2"/>
  <sheetViews>
    <sheetView zoomScale="90" zoomScaleNormal="90" workbookViewId="0">
      <selection activeCell="T28" sqref="T28"/>
    </sheetView>
  </sheetViews>
  <sheetFormatPr defaultRowHeight="15.75" x14ac:dyDescent="0.25"/>
  <cols>
    <col min="1" max="1" width="1.5703125" style="14" customWidth="1"/>
    <col min="2" max="2" width="19" style="14" bestFit="1" customWidth="1"/>
    <col min="3" max="3" width="10.5703125" style="14" customWidth="1"/>
    <col min="4" max="4" width="8.5703125" style="14" customWidth="1"/>
    <col min="5" max="5" width="17.28515625" style="14" hidden="1" customWidth="1"/>
    <col min="6" max="6" width="3.7109375" style="14" customWidth="1"/>
    <col min="7" max="7" width="29.85546875" style="14" customWidth="1"/>
    <col min="8" max="8" width="3.85546875" style="14" hidden="1" customWidth="1"/>
    <col min="9" max="9" width="12.28515625" style="18" hidden="1" customWidth="1"/>
    <col min="10" max="10" width="3.7109375" style="18" hidden="1" customWidth="1"/>
    <col min="11" max="11" width="14.85546875" style="14" hidden="1" customWidth="1"/>
    <col min="12" max="12" width="3" style="14" hidden="1" customWidth="1"/>
    <col min="13" max="13" width="20.140625" style="14" customWidth="1"/>
    <col min="14" max="14" width="1.85546875" style="14" customWidth="1"/>
    <col min="15" max="15" width="9.140625" style="14"/>
  </cols>
  <sheetData>
    <row r="2" spans="2:13" ht="21" x14ac:dyDescent="0.35">
      <c r="B2" s="123" t="s">
        <v>276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2:13" ht="21" x14ac:dyDescent="0.35">
      <c r="B3" s="123" t="s">
        <v>275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2:13" x14ac:dyDescent="0.25">
      <c r="I4" s="14"/>
      <c r="J4" s="14"/>
    </row>
    <row r="5" spans="2:13" ht="16.5" x14ac:dyDescent="0.25">
      <c r="E5" s="15" t="s">
        <v>86</v>
      </c>
      <c r="G5" s="15"/>
      <c r="I5" s="14"/>
      <c r="J5" s="14"/>
      <c r="M5" s="17" t="s">
        <v>277</v>
      </c>
    </row>
    <row r="6" spans="2:13" ht="16.5" x14ac:dyDescent="0.25">
      <c r="D6" s="16"/>
      <c r="E6" s="17" t="s">
        <v>87</v>
      </c>
      <c r="G6" s="17"/>
      <c r="I6" s="17" t="s">
        <v>88</v>
      </c>
      <c r="K6" s="17" t="s">
        <v>89</v>
      </c>
      <c r="L6" s="17"/>
      <c r="M6" s="17" t="s">
        <v>278</v>
      </c>
    </row>
    <row r="7" spans="2:13" ht="18.75" x14ac:dyDescent="0.3">
      <c r="B7" s="19" t="s">
        <v>90</v>
      </c>
      <c r="D7" s="16"/>
      <c r="E7" s="15" t="s">
        <v>89</v>
      </c>
      <c r="G7" s="15"/>
      <c r="I7" s="15" t="s">
        <v>91</v>
      </c>
      <c r="K7" s="15" t="s">
        <v>92</v>
      </c>
      <c r="L7" s="15"/>
      <c r="M7" s="122">
        <v>43708</v>
      </c>
    </row>
    <row r="8" spans="2:13" ht="16.5" x14ac:dyDescent="0.25">
      <c r="D8" s="16"/>
      <c r="E8" s="20"/>
      <c r="G8" s="18"/>
      <c r="K8" s="18"/>
      <c r="L8" s="18"/>
    </row>
    <row r="9" spans="2:13" ht="16.5" x14ac:dyDescent="0.25">
      <c r="B9" s="21" t="s">
        <v>93</v>
      </c>
      <c r="C9" s="21" t="s">
        <v>4</v>
      </c>
      <c r="D9" s="16"/>
      <c r="E9" s="22">
        <v>0.26</v>
      </c>
      <c r="F9" s="22"/>
      <c r="G9" s="23"/>
      <c r="I9" s="23">
        <v>-8.0000000000000071E-3</v>
      </c>
      <c r="K9" s="23">
        <v>-0.03</v>
      </c>
      <c r="L9" s="23"/>
      <c r="M9" s="23">
        <v>0.26200000000000001</v>
      </c>
    </row>
    <row r="10" spans="2:13" ht="16.5" x14ac:dyDescent="0.25">
      <c r="B10" s="21" t="s">
        <v>94</v>
      </c>
      <c r="C10" s="98" t="s">
        <v>271</v>
      </c>
      <c r="D10" s="16"/>
      <c r="E10" s="22">
        <v>0.29199999999999998</v>
      </c>
      <c r="F10" s="22"/>
      <c r="G10" s="23"/>
      <c r="I10" s="23">
        <v>-0.01</v>
      </c>
      <c r="K10" s="23">
        <v>-3.3000000000000002E-2</v>
      </c>
      <c r="L10" s="23"/>
      <c r="M10" s="23">
        <v>0.33200000000000002</v>
      </c>
    </row>
    <row r="11" spans="2:13" ht="16.5" x14ac:dyDescent="0.25">
      <c r="B11" s="21" t="s">
        <v>95</v>
      </c>
      <c r="C11" s="98" t="s">
        <v>271</v>
      </c>
      <c r="D11" s="16"/>
      <c r="E11" s="22">
        <v>0.36699999999999999</v>
      </c>
      <c r="F11" s="22"/>
      <c r="G11" s="23"/>
      <c r="I11" s="23">
        <v>-5.0000000000000001E-3</v>
      </c>
      <c r="K11" s="23">
        <v>-1.2999999999999999E-2</v>
      </c>
      <c r="L11" s="23"/>
      <c r="M11" s="23">
        <f>M10</f>
        <v>0.33200000000000002</v>
      </c>
    </row>
    <row r="12" spans="2:13" ht="16.5" x14ac:dyDescent="0.25">
      <c r="B12" s="21" t="s">
        <v>96</v>
      </c>
      <c r="C12" s="21" t="s">
        <v>97</v>
      </c>
      <c r="D12" s="16"/>
      <c r="E12" s="22">
        <v>0.14799999999999999</v>
      </c>
      <c r="F12" s="22"/>
      <c r="G12" s="23"/>
      <c r="I12" s="23">
        <v>-8.0000000000000071E-3</v>
      </c>
      <c r="K12" s="23">
        <v>-5.0999999999999997E-2</v>
      </c>
      <c r="L12" s="23"/>
      <c r="M12" s="23">
        <v>0.159</v>
      </c>
    </row>
    <row r="13" spans="2:13" ht="16.5" x14ac:dyDescent="0.25">
      <c r="B13" s="21" t="s">
        <v>98</v>
      </c>
      <c r="C13" s="21" t="s">
        <v>99</v>
      </c>
      <c r="D13" s="16"/>
      <c r="E13" s="22">
        <v>1.4000000000000002E-2</v>
      </c>
      <c r="F13" s="22"/>
      <c r="G13" s="23"/>
      <c r="I13" s="23">
        <v>0</v>
      </c>
      <c r="K13" s="23">
        <v>0</v>
      </c>
      <c r="L13" s="23"/>
      <c r="M13" s="23">
        <v>5.0000000000000001E-3</v>
      </c>
    </row>
    <row r="14" spans="2:13" ht="16.5" x14ac:dyDescent="0.25">
      <c r="B14" s="21" t="s">
        <v>100</v>
      </c>
      <c r="C14" s="21" t="s">
        <v>101</v>
      </c>
      <c r="D14" s="16"/>
      <c r="E14" s="22">
        <v>4.4000000000000004E-2</v>
      </c>
      <c r="F14" s="22"/>
      <c r="G14" s="23"/>
      <c r="I14" s="23">
        <v>2.0000000000000018E-3</v>
      </c>
      <c r="K14" s="23">
        <v>4.8000000000000001E-2</v>
      </c>
      <c r="L14" s="23"/>
      <c r="M14" s="23">
        <v>2.9000000000000001E-2</v>
      </c>
    </row>
    <row r="15" spans="2:13" ht="16.5" x14ac:dyDescent="0.25">
      <c r="B15" s="21" t="s">
        <v>102</v>
      </c>
      <c r="C15" s="21" t="s">
        <v>103</v>
      </c>
      <c r="D15" s="16"/>
      <c r="E15" s="22">
        <v>0.1</v>
      </c>
      <c r="F15" s="22"/>
      <c r="G15" s="23"/>
      <c r="H15" s="23"/>
      <c r="I15" s="23">
        <v>2.9000000000000012E-2</v>
      </c>
      <c r="K15" s="23">
        <v>0.40799999999999997</v>
      </c>
      <c r="L15" s="23"/>
      <c r="M15" s="23">
        <v>0.10100000000000001</v>
      </c>
    </row>
    <row r="16" spans="2:13" ht="16.5" x14ac:dyDescent="0.25">
      <c r="B16" s="21"/>
      <c r="C16" s="21"/>
      <c r="E16" s="23"/>
      <c r="F16" s="22"/>
      <c r="G16" s="23"/>
      <c r="I16" s="23"/>
      <c r="K16" s="24"/>
      <c r="L16" s="24"/>
      <c r="M16" s="23"/>
    </row>
    <row r="17" spans="2:13" ht="16.5" x14ac:dyDescent="0.25">
      <c r="B17" s="25"/>
      <c r="D17" s="16"/>
      <c r="E17" s="15" t="s">
        <v>86</v>
      </c>
      <c r="G17" s="15"/>
      <c r="I17" s="23"/>
      <c r="K17" s="18"/>
      <c r="L17" s="18"/>
      <c r="M17" s="17" t="s">
        <v>277</v>
      </c>
    </row>
    <row r="18" spans="2:13" ht="16.5" x14ac:dyDescent="0.25">
      <c r="B18" s="25"/>
      <c r="D18" s="16"/>
      <c r="E18" s="17" t="s">
        <v>87</v>
      </c>
      <c r="F18" s="17"/>
      <c r="G18" s="17"/>
      <c r="I18" s="17" t="s">
        <v>88</v>
      </c>
      <c r="K18" s="17" t="s">
        <v>89</v>
      </c>
      <c r="L18" s="17"/>
      <c r="M18" s="17" t="s">
        <v>278</v>
      </c>
    </row>
    <row r="19" spans="2:13" ht="18.75" x14ac:dyDescent="0.3">
      <c r="B19" s="19" t="s">
        <v>371</v>
      </c>
      <c r="D19" s="16"/>
      <c r="E19" s="15" t="s">
        <v>89</v>
      </c>
      <c r="F19" s="15"/>
      <c r="G19" s="15"/>
      <c r="I19" s="15" t="s">
        <v>91</v>
      </c>
      <c r="K19" s="15" t="s">
        <v>92</v>
      </c>
      <c r="L19" s="15"/>
      <c r="M19" s="122">
        <v>43708</v>
      </c>
    </row>
    <row r="20" spans="2:13" ht="16.5" x14ac:dyDescent="0.25">
      <c r="D20" s="16"/>
      <c r="E20" s="20"/>
      <c r="F20" s="20"/>
      <c r="G20" s="18"/>
      <c r="I20" s="23"/>
      <c r="K20" s="18"/>
      <c r="L20" s="18"/>
      <c r="M20" s="23"/>
    </row>
    <row r="21" spans="2:13" ht="16.5" x14ac:dyDescent="0.25">
      <c r="B21" s="21" t="s">
        <v>104</v>
      </c>
      <c r="C21" s="21" t="s">
        <v>4</v>
      </c>
      <c r="D21" s="26"/>
      <c r="E21" s="27">
        <v>0.311</v>
      </c>
      <c r="F21" s="22"/>
      <c r="G21" s="23"/>
      <c r="I21" s="23">
        <v>-0.01</v>
      </c>
      <c r="K21" s="23">
        <v>-3.1E-2</v>
      </c>
      <c r="L21" s="23"/>
      <c r="M21" s="23">
        <v>0.34200000000000003</v>
      </c>
    </row>
    <row r="22" spans="2:13" ht="16.5" x14ac:dyDescent="0.25">
      <c r="B22" s="21" t="s">
        <v>105</v>
      </c>
      <c r="C22" s="98" t="s">
        <v>271</v>
      </c>
      <c r="D22" s="16"/>
      <c r="E22" s="27">
        <v>0.25700000000000001</v>
      </c>
      <c r="F22" s="22"/>
      <c r="G22" s="23"/>
      <c r="I22" s="23">
        <v>-0.02</v>
      </c>
      <c r="K22" s="23">
        <v>-7.1999999999999995E-2</v>
      </c>
      <c r="L22" s="23"/>
      <c r="M22" s="23">
        <v>0.32200000000000001</v>
      </c>
    </row>
    <row r="23" spans="2:13" ht="16.5" x14ac:dyDescent="0.25">
      <c r="B23" s="21" t="s">
        <v>106</v>
      </c>
      <c r="C23" s="98" t="s">
        <v>271</v>
      </c>
      <c r="D23" s="16"/>
      <c r="E23" s="27">
        <v>0.35299999999999998</v>
      </c>
      <c r="F23" s="22"/>
      <c r="G23" s="23"/>
      <c r="I23" s="23">
        <v>-3.9000000000000035E-2</v>
      </c>
      <c r="K23" s="23">
        <v>-9.9000000000000005E-2</v>
      </c>
      <c r="L23" s="23"/>
      <c r="M23" s="23">
        <f>M22</f>
        <v>0.32200000000000001</v>
      </c>
    </row>
    <row r="24" spans="2:13" ht="16.5" x14ac:dyDescent="0.25">
      <c r="B24" s="21" t="s">
        <v>107</v>
      </c>
      <c r="C24" s="21" t="s">
        <v>97</v>
      </c>
      <c r="D24" s="16"/>
      <c r="E24" s="27">
        <v>0.14899999999999999</v>
      </c>
      <c r="F24" s="22"/>
      <c r="G24" s="23"/>
      <c r="I24" s="23">
        <v>-7.0000000000000062E-3</v>
      </c>
      <c r="K24" s="23">
        <v>-4.4999999999999998E-2</v>
      </c>
      <c r="L24" s="23"/>
      <c r="M24" s="23">
        <v>0.16300000000000001</v>
      </c>
    </row>
    <row r="25" spans="2:13" ht="16.5" x14ac:dyDescent="0.25">
      <c r="B25" s="21" t="s">
        <v>108</v>
      </c>
      <c r="C25" s="21" t="s">
        <v>99</v>
      </c>
      <c r="D25" s="16"/>
      <c r="E25" s="27">
        <v>1.4000000000000002E-2</v>
      </c>
      <c r="F25" s="22"/>
      <c r="G25" s="23"/>
      <c r="I25" s="23">
        <v>0</v>
      </c>
      <c r="K25" s="23">
        <v>0</v>
      </c>
      <c r="L25" s="23"/>
      <c r="M25" s="23">
        <v>8.9999999999999993E-3</v>
      </c>
    </row>
    <row r="26" spans="2:13" ht="16.5" x14ac:dyDescent="0.25">
      <c r="B26" s="21" t="s">
        <v>109</v>
      </c>
      <c r="C26" s="21" t="s">
        <v>101</v>
      </c>
      <c r="D26" s="16"/>
      <c r="E26" s="22">
        <v>4.4000000000000004E-2</v>
      </c>
      <c r="F26" s="22"/>
      <c r="G26" s="23"/>
      <c r="I26" s="23">
        <v>2.0000000000000018E-3</v>
      </c>
      <c r="K26" s="23">
        <v>4.8000000000000001E-2</v>
      </c>
      <c r="L26" s="23"/>
      <c r="M26" s="23">
        <f>M14</f>
        <v>2.9000000000000001E-2</v>
      </c>
    </row>
    <row r="27" spans="2:13" ht="16.5" x14ac:dyDescent="0.25">
      <c r="B27" s="21" t="s">
        <v>110</v>
      </c>
      <c r="C27" s="21" t="s">
        <v>103</v>
      </c>
      <c r="D27" s="16"/>
      <c r="E27" s="22">
        <v>0.10400000000000001</v>
      </c>
      <c r="F27" s="22"/>
      <c r="G27" s="23"/>
      <c r="I27" s="23">
        <v>0.03</v>
      </c>
      <c r="K27" s="23">
        <v>0.40500000000000003</v>
      </c>
      <c r="L27" s="23"/>
      <c r="M27" s="23">
        <v>0.105</v>
      </c>
    </row>
    <row r="28" spans="2:13" ht="16.5" x14ac:dyDescent="0.25">
      <c r="B28" s="21"/>
      <c r="C28" s="21"/>
      <c r="D28" s="16"/>
      <c r="E28" s="22"/>
      <c r="F28" s="22"/>
      <c r="G28" s="23"/>
      <c r="I28" s="23"/>
      <c r="K28" s="23"/>
      <c r="L28" s="23"/>
      <c r="M28" s="23"/>
    </row>
    <row r="29" spans="2:13" ht="16.5" x14ac:dyDescent="0.25">
      <c r="B29" s="28"/>
      <c r="C29" s="29"/>
      <c r="D29" s="30"/>
      <c r="E29" s="29"/>
      <c r="F29" s="27"/>
      <c r="G29" s="31"/>
      <c r="H29" s="29"/>
      <c r="I29" s="31"/>
      <c r="J29" s="32"/>
      <c r="K29" s="33"/>
      <c r="L29" s="33"/>
      <c r="M29" s="17" t="s">
        <v>279</v>
      </c>
    </row>
    <row r="30" spans="2:13" ht="16.5" x14ac:dyDescent="0.25">
      <c r="B30" s="28"/>
      <c r="C30" s="28"/>
      <c r="D30" s="30"/>
      <c r="E30" s="27"/>
      <c r="F30" s="27"/>
      <c r="G30" s="31"/>
      <c r="H30" s="29"/>
      <c r="I30" s="31"/>
      <c r="J30" s="32"/>
      <c r="K30" s="33"/>
      <c r="L30" s="33"/>
      <c r="M30" s="17" t="s">
        <v>278</v>
      </c>
    </row>
    <row r="31" spans="2:13" ht="18.75" x14ac:dyDescent="0.3">
      <c r="B31" s="148" t="s">
        <v>280</v>
      </c>
      <c r="C31" s="29"/>
      <c r="D31" s="34"/>
      <c r="E31" s="35" t="s">
        <v>89</v>
      </c>
      <c r="F31" s="35"/>
      <c r="G31" s="35"/>
      <c r="H31" s="29"/>
      <c r="I31" s="35" t="s">
        <v>91</v>
      </c>
      <c r="J31" s="32"/>
      <c r="K31" s="35" t="s">
        <v>92</v>
      </c>
      <c r="L31" s="35"/>
      <c r="M31" s="122">
        <v>43646</v>
      </c>
    </row>
    <row r="32" spans="2:13" ht="16.5" x14ac:dyDescent="0.25">
      <c r="B32" s="29"/>
      <c r="C32" s="29"/>
      <c r="D32" s="30"/>
      <c r="E32" s="36"/>
      <c r="F32" s="36"/>
      <c r="G32" s="32"/>
      <c r="H32" s="29"/>
      <c r="I32" s="31"/>
      <c r="J32" s="32"/>
      <c r="K32" s="32"/>
      <c r="L32" s="32"/>
      <c r="M32" s="31"/>
    </row>
    <row r="33" spans="2:13" ht="16.5" x14ac:dyDescent="0.25">
      <c r="B33" s="28" t="s">
        <v>93</v>
      </c>
      <c r="C33" s="28" t="s">
        <v>4</v>
      </c>
      <c r="D33" s="37"/>
      <c r="E33" s="27">
        <v>0.311</v>
      </c>
      <c r="F33" s="27"/>
      <c r="G33" s="31"/>
      <c r="H33" s="29"/>
      <c r="I33" s="31">
        <v>-0.01</v>
      </c>
      <c r="J33" s="32"/>
      <c r="K33" s="31">
        <v>-3.1E-2</v>
      </c>
      <c r="L33" s="31"/>
      <c r="M33" s="22">
        <v>0.26800000000000002</v>
      </c>
    </row>
    <row r="34" spans="2:13" ht="16.5" x14ac:dyDescent="0.25">
      <c r="B34" s="28" t="s">
        <v>94</v>
      </c>
      <c r="C34" s="98" t="s">
        <v>271</v>
      </c>
      <c r="D34" s="30"/>
      <c r="E34" s="27">
        <v>0.25700000000000001</v>
      </c>
      <c r="F34" s="27"/>
      <c r="G34" s="31"/>
      <c r="H34" s="29"/>
      <c r="I34" s="31">
        <v>-0.02</v>
      </c>
      <c r="J34" s="32"/>
      <c r="K34" s="31">
        <v>-7.1999999999999995E-2</v>
      </c>
      <c r="L34" s="31"/>
      <c r="M34" s="22">
        <v>0.316</v>
      </c>
    </row>
    <row r="35" spans="2:13" ht="16.5" x14ac:dyDescent="0.25">
      <c r="B35" s="28" t="s">
        <v>95</v>
      </c>
      <c r="C35" s="98" t="s">
        <v>271</v>
      </c>
      <c r="D35" s="30"/>
      <c r="E35" s="27">
        <v>0.35299999999999998</v>
      </c>
      <c r="F35" s="27"/>
      <c r="G35" s="31"/>
      <c r="H35" s="29"/>
      <c r="I35" s="31">
        <v>-3.9000000000000035E-2</v>
      </c>
      <c r="J35" s="32"/>
      <c r="K35" s="31">
        <v>-9.9000000000000005E-2</v>
      </c>
      <c r="L35" s="31"/>
      <c r="M35" s="22">
        <v>0.316</v>
      </c>
    </row>
    <row r="36" spans="2:13" ht="16.5" x14ac:dyDescent="0.25">
      <c r="B36" s="28" t="s">
        <v>96</v>
      </c>
      <c r="C36" s="28" t="s">
        <v>97</v>
      </c>
      <c r="D36" s="30"/>
      <c r="E36" s="27">
        <v>0.14899999999999999</v>
      </c>
      <c r="F36" s="27"/>
      <c r="G36" s="31"/>
      <c r="H36" s="29"/>
      <c r="I36" s="31">
        <v>-7.0000000000000062E-3</v>
      </c>
      <c r="J36" s="32"/>
      <c r="K36" s="31">
        <v>-4.4999999999999998E-2</v>
      </c>
      <c r="L36" s="31"/>
      <c r="M36" s="22">
        <v>0.157</v>
      </c>
    </row>
    <row r="37" spans="2:13" ht="16.5" x14ac:dyDescent="0.25">
      <c r="B37" s="28" t="s">
        <v>98</v>
      </c>
      <c r="C37" s="28" t="s">
        <v>111</v>
      </c>
      <c r="D37" s="30"/>
      <c r="E37" s="27">
        <v>1.4000000000000002E-2</v>
      </c>
      <c r="F37" s="27"/>
      <c r="G37" s="31"/>
      <c r="H37" s="29"/>
      <c r="I37" s="31">
        <v>0</v>
      </c>
      <c r="J37" s="32"/>
      <c r="K37" s="31">
        <v>0</v>
      </c>
      <c r="L37" s="31"/>
      <c r="M37" s="22">
        <v>0.08</v>
      </c>
    </row>
    <row r="38" spans="2:13" ht="16.5" x14ac:dyDescent="0.25">
      <c r="B38" s="21"/>
      <c r="C38" s="21"/>
      <c r="D38" s="16"/>
      <c r="E38" s="22"/>
      <c r="F38" s="22"/>
      <c r="G38" s="23"/>
      <c r="I38" s="23"/>
      <c r="K38" s="23"/>
      <c r="L38" s="23"/>
      <c r="M38" s="23"/>
    </row>
    <row r="39" spans="2:13" ht="18" x14ac:dyDescent="0.25">
      <c r="B39" s="38"/>
      <c r="C39" s="21"/>
      <c r="D39" s="39"/>
      <c r="I39" s="14"/>
      <c r="J39" s="14"/>
    </row>
    <row r="40" spans="2:13" ht="18" x14ac:dyDescent="0.25">
      <c r="B40" s="38"/>
      <c r="D40" s="26"/>
      <c r="I40" s="14"/>
      <c r="J40" s="14"/>
    </row>
    <row r="41" spans="2:13" ht="16.5" x14ac:dyDescent="0.25">
      <c r="B41" s="21"/>
      <c r="C41" s="21"/>
      <c r="I41" s="14"/>
      <c r="J41" s="14"/>
    </row>
    <row r="42" spans="2:13" ht="16.5" x14ac:dyDescent="0.25">
      <c r="B42" s="21"/>
      <c r="C42" s="21"/>
      <c r="D42" s="26"/>
      <c r="I42" s="14"/>
      <c r="J42" s="14"/>
    </row>
    <row r="43" spans="2:13" ht="16.5" x14ac:dyDescent="0.25">
      <c r="B43" s="21"/>
      <c r="C43" s="21"/>
      <c r="D43" s="26"/>
      <c r="K43" s="24"/>
      <c r="L43" s="24"/>
    </row>
    <row r="44" spans="2:13" ht="16.5" x14ac:dyDescent="0.25">
      <c r="B44" s="21"/>
      <c r="C44" s="21"/>
      <c r="D44" s="26"/>
      <c r="K44" s="24"/>
      <c r="L44" s="24"/>
    </row>
    <row r="45" spans="2:13" ht="16.5" x14ac:dyDescent="0.25">
      <c r="B45" s="21"/>
      <c r="C45" s="21"/>
      <c r="D45" s="26"/>
      <c r="K45" s="18"/>
      <c r="L45" s="18"/>
    </row>
    <row r="46" spans="2:13" ht="16.5" x14ac:dyDescent="0.25">
      <c r="B46" s="21"/>
      <c r="C46" s="21"/>
      <c r="D46" s="26"/>
      <c r="K46" s="24"/>
      <c r="L46" s="24"/>
    </row>
    <row r="47" spans="2:13" ht="16.5" x14ac:dyDescent="0.25">
      <c r="B47" s="21"/>
      <c r="C47" s="21"/>
      <c r="D47" s="26"/>
      <c r="G47" s="23"/>
      <c r="K47" s="24"/>
      <c r="L47" s="24"/>
    </row>
    <row r="48" spans="2:13" ht="16.5" x14ac:dyDescent="0.25">
      <c r="B48" s="21"/>
      <c r="C48" s="21"/>
      <c r="D48" s="26"/>
      <c r="E48" s="22"/>
      <c r="G48" s="23"/>
      <c r="K48" s="24"/>
      <c r="L48" s="24"/>
    </row>
    <row r="49" spans="2:12" ht="16.5" x14ac:dyDescent="0.25">
      <c r="B49" s="21"/>
      <c r="C49" s="21"/>
      <c r="D49" s="26"/>
      <c r="E49" s="22"/>
      <c r="G49" s="23"/>
      <c r="K49" s="24"/>
      <c r="L49" s="24"/>
    </row>
    <row r="50" spans="2:12" ht="16.5" x14ac:dyDescent="0.25">
      <c r="B50" s="21"/>
      <c r="C50" s="21"/>
      <c r="D50" s="26"/>
      <c r="E50" s="22"/>
      <c r="G50" s="23"/>
      <c r="J50" s="24"/>
    </row>
    <row r="51" spans="2:12" ht="16.5" x14ac:dyDescent="0.25">
      <c r="B51" s="21"/>
      <c r="C51" s="21"/>
      <c r="D51" s="26"/>
      <c r="E51" s="22"/>
      <c r="G51" s="23"/>
      <c r="J51" s="24"/>
    </row>
    <row r="52" spans="2:12" ht="16.5" x14ac:dyDescent="0.25">
      <c r="B52" s="21"/>
      <c r="C52" s="21"/>
      <c r="D52" s="26"/>
      <c r="E52" s="22"/>
      <c r="G52" s="23"/>
      <c r="J52" s="24"/>
    </row>
    <row r="53" spans="2:12" ht="16.5" x14ac:dyDescent="0.25">
      <c r="B53" s="21"/>
      <c r="C53" s="21"/>
      <c r="D53" s="26"/>
      <c r="E53" s="22"/>
      <c r="G53" s="23"/>
      <c r="J53" s="14"/>
    </row>
    <row r="54" spans="2:12" ht="16.5" x14ac:dyDescent="0.25">
      <c r="D54" s="16"/>
      <c r="G54" s="18"/>
      <c r="I54" s="14"/>
      <c r="J54" s="14"/>
    </row>
    <row r="55" spans="2:12" ht="16.5" x14ac:dyDescent="0.25">
      <c r="D55" s="16"/>
      <c r="G55" s="18"/>
      <c r="I55" s="14"/>
      <c r="J55" s="14"/>
    </row>
    <row r="56" spans="2:12" ht="16.5" x14ac:dyDescent="0.25">
      <c r="D56" s="16"/>
      <c r="G56" s="18"/>
      <c r="I56" s="14"/>
      <c r="J56" s="14"/>
    </row>
    <row r="57" spans="2:12" ht="16.5" x14ac:dyDescent="0.25">
      <c r="D57" s="16"/>
      <c r="G57" s="18"/>
      <c r="I57" s="14"/>
      <c r="J57" s="14"/>
    </row>
    <row r="58" spans="2:12" ht="16.5" x14ac:dyDescent="0.25">
      <c r="D58" s="16"/>
      <c r="G58" s="18"/>
      <c r="I58" s="14"/>
      <c r="J58" s="14"/>
    </row>
    <row r="59" spans="2:12" ht="16.5" x14ac:dyDescent="0.25">
      <c r="D59" s="16"/>
      <c r="G59" s="18"/>
      <c r="I59" s="14"/>
      <c r="J59" s="14"/>
    </row>
    <row r="60" spans="2:12" ht="16.5" x14ac:dyDescent="0.25">
      <c r="D60" s="16"/>
      <c r="G60" s="18"/>
      <c r="I60" s="14"/>
      <c r="J60" s="14"/>
    </row>
    <row r="61" spans="2:12" ht="16.5" x14ac:dyDescent="0.25">
      <c r="D61" s="16"/>
      <c r="G61" s="18"/>
      <c r="I61" s="14"/>
      <c r="J61" s="14"/>
    </row>
    <row r="62" spans="2:12" ht="16.5" x14ac:dyDescent="0.25">
      <c r="D62" s="16"/>
      <c r="G62" s="18"/>
      <c r="I62" s="14"/>
      <c r="J62" s="14"/>
    </row>
  </sheetData>
  <mergeCells count="2">
    <mergeCell ref="B2:M2"/>
    <mergeCell ref="B3:M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7"/>
  <sheetViews>
    <sheetView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12.5703125" defaultRowHeight="15.75" x14ac:dyDescent="0.25"/>
  <cols>
    <col min="1" max="1" width="2.140625" style="41" customWidth="1"/>
    <col min="2" max="2" width="30.7109375" style="41" customWidth="1"/>
    <col min="3" max="3" width="19" style="41" customWidth="1"/>
    <col min="4" max="4" width="0.28515625" style="41" customWidth="1"/>
    <col min="5" max="5" width="19" style="41" customWidth="1"/>
    <col min="6" max="6" width="0.28515625" style="41" customWidth="1"/>
    <col min="7" max="7" width="19" style="41" customWidth="1"/>
    <col min="8" max="8" width="0.28515625" style="41" customWidth="1"/>
    <col min="9" max="9" width="19" style="41" customWidth="1"/>
    <col min="10" max="10" width="0.28515625" style="41" customWidth="1"/>
    <col min="11" max="11" width="19" style="41" customWidth="1"/>
    <col min="12" max="12" width="0.28515625" style="41" customWidth="1"/>
    <col min="13" max="13" width="20.42578125" style="41" customWidth="1"/>
    <col min="14" max="14" width="0.28515625" style="41" customWidth="1"/>
    <col min="15" max="15" width="17" style="41" customWidth="1"/>
    <col min="16" max="16" width="8.140625" style="41" customWidth="1"/>
    <col min="17" max="16384" width="12.5703125" style="41"/>
  </cols>
  <sheetData>
    <row r="1" spans="2:15" x14ac:dyDescent="0.25">
      <c r="B1" s="124" t="s">
        <v>372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40"/>
    </row>
    <row r="2" spans="2:15" x14ac:dyDescent="0.25">
      <c r="B2" s="124" t="s">
        <v>374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40"/>
    </row>
    <row r="3" spans="2:15" x14ac:dyDescent="0.25">
      <c r="B3" s="42"/>
    </row>
    <row r="4" spans="2:15" x14ac:dyDescent="0.25">
      <c r="B4" s="14"/>
      <c r="C4" s="43" t="s">
        <v>93</v>
      </c>
      <c r="D4" s="44"/>
      <c r="E4" s="44" t="s">
        <v>94</v>
      </c>
      <c r="F4" s="44"/>
      <c r="G4" s="44" t="s">
        <v>95</v>
      </c>
      <c r="H4" s="44"/>
      <c r="I4" s="44" t="s">
        <v>96</v>
      </c>
      <c r="J4" s="44"/>
      <c r="K4" s="44" t="s">
        <v>98</v>
      </c>
      <c r="L4" s="44"/>
      <c r="M4" s="44" t="s">
        <v>100</v>
      </c>
      <c r="N4" s="44"/>
      <c r="O4" s="45" t="s">
        <v>102</v>
      </c>
    </row>
    <row r="5" spans="2:15" x14ac:dyDescent="0.25">
      <c r="B5" s="14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2:15" x14ac:dyDescent="0.25">
      <c r="B6" s="14"/>
      <c r="C6" s="49" t="s">
        <v>112</v>
      </c>
      <c r="D6" s="50"/>
      <c r="E6" s="50" t="s">
        <v>272</v>
      </c>
      <c r="F6" s="50"/>
      <c r="G6" s="50" t="s">
        <v>272</v>
      </c>
      <c r="H6" s="50"/>
      <c r="I6" s="50" t="s">
        <v>113</v>
      </c>
      <c r="J6" s="50"/>
      <c r="K6" s="50" t="s">
        <v>114</v>
      </c>
      <c r="L6" s="50"/>
      <c r="M6" s="50" t="s">
        <v>115</v>
      </c>
      <c r="N6" s="50"/>
      <c r="O6" s="51" t="s">
        <v>116</v>
      </c>
    </row>
    <row r="7" spans="2:15" x14ac:dyDescent="0.25">
      <c r="B7" s="14"/>
    </row>
    <row r="8" spans="2:15" x14ac:dyDescent="0.25">
      <c r="B8" s="52" t="s">
        <v>36</v>
      </c>
      <c r="C8" s="53">
        <f>ROUND(((fy19_summary_bnft_projection!D18-fy19_summary_bnft_projection!D55)/fy19_summary_bnft_projection!$D$43),3)</f>
        <v>0.14099999999999999</v>
      </c>
      <c r="D8" s="53"/>
      <c r="E8" s="53">
        <f>ROUND(((fy19_summary_bnft_projection!F18-fy19_summary_bnft_projection!E55)/fy19_summary_bnft_projection!$F$43),3)</f>
        <v>0</v>
      </c>
      <c r="F8" s="53"/>
      <c r="G8" s="53">
        <f>E8</f>
        <v>0</v>
      </c>
      <c r="H8" s="53"/>
      <c r="I8" s="53">
        <f>ROUND(((fy19_summary_bnft_projection!K18-fy19_summary_bnft_projection!G55)/fy19_summary_bnft_projection!$K$43),3)</f>
        <v>0.14099999999999999</v>
      </c>
      <c r="J8" s="53"/>
      <c r="K8" s="53">
        <f>ROUND(((fy19_summary_bnft_projection!M18-fy19_summary_bnft_projection!I55)/fy19_summary_bnft_projection!$M$43),3)</f>
        <v>0</v>
      </c>
      <c r="L8" s="53"/>
      <c r="M8" s="53">
        <f>ROUND(((fy19_summary_bnft_projection!O18-fy19_summary_bnft_projection!I55)/fy19_summary_bnft_projection!$O$43),3)</f>
        <v>0</v>
      </c>
      <c r="N8" s="53"/>
      <c r="O8" s="53">
        <f>ROUND(((fy19_summary_bnft_projection!Q18)/fy19_summary_bnft_projection!$Q$43),3)</f>
        <v>0</v>
      </c>
    </row>
    <row r="9" spans="2:15" x14ac:dyDescent="0.25">
      <c r="B9" s="54" t="s">
        <v>38</v>
      </c>
      <c r="C9" s="53">
        <f>ROUND(((fy19_summary_bnft_projection!D19-fy19_summary_bnft_projection!D56)/fy19_summary_bnft_projection!$D$43),3)</f>
        <v>0</v>
      </c>
      <c r="D9" s="53"/>
      <c r="E9" s="53">
        <f>ROUND(((fy19_summary_bnft_projection!F19-fy19_summary_bnft_projection!E56)/fy19_summary_bnft_projection!$F$43),3)</f>
        <v>0.14099999999999999</v>
      </c>
      <c r="F9" s="53"/>
      <c r="G9" s="53">
        <f t="shared" ref="G9:G26" si="0">E9</f>
        <v>0.14099999999999999</v>
      </c>
      <c r="H9" s="53"/>
      <c r="I9" s="53">
        <f>ROUND(((fy19_summary_bnft_projection!K19-fy19_summary_bnft_projection!G56)/fy19_summary_bnft_projection!$K$43),3)</f>
        <v>0</v>
      </c>
      <c r="J9" s="53"/>
      <c r="K9" s="53">
        <f>ROUND(((fy19_summary_bnft_projection!M19-fy19_summary_bnft_projection!I56)/fy19_summary_bnft_projection!$M$43),3)</f>
        <v>0</v>
      </c>
      <c r="L9" s="53"/>
      <c r="M9" s="53">
        <f>ROUND(((fy19_summary_bnft_projection!O19-fy19_summary_bnft_projection!I56)/fy19_summary_bnft_projection!$O$43),3)</f>
        <v>0</v>
      </c>
      <c r="N9" s="53"/>
      <c r="O9" s="53">
        <f>ROUND(((fy19_summary_bnft_projection!Q19)/fy19_summary_bnft_projection!$Q$43),3)</f>
        <v>0</v>
      </c>
    </row>
    <row r="10" spans="2:15" x14ac:dyDescent="0.25">
      <c r="B10" s="54" t="s">
        <v>117</v>
      </c>
      <c r="C10" s="53">
        <f>ROUND(((fy19_summary_bnft_projection!D20-fy19_summary_bnft_projection!D57)/fy19_summary_bnft_projection!$D$43),3)</f>
        <v>1.2999999999999999E-2</v>
      </c>
      <c r="D10" s="53"/>
      <c r="E10" s="53">
        <f>ROUND(((fy19_summary_bnft_projection!F20-fy19_summary_bnft_projection!E57)/fy19_summary_bnft_projection!$F$43),3)</f>
        <v>1.2999999999999999E-2</v>
      </c>
      <c r="F10" s="53"/>
      <c r="G10" s="53">
        <f t="shared" si="0"/>
        <v>1.2999999999999999E-2</v>
      </c>
      <c r="H10" s="53"/>
      <c r="I10" s="53">
        <f>ROUND(((fy19_summary_bnft_projection!K20-fy19_summary_bnft_projection!G57)/fy19_summary_bnft_projection!$K$43),3)</f>
        <v>1.2999999999999999E-2</v>
      </c>
      <c r="J10" s="53"/>
      <c r="K10" s="53">
        <f>ROUND(((fy19_summary_bnft_projection!M20-fy19_summary_bnft_projection!I57)/fy19_summary_bnft_projection!$M$43),3)</f>
        <v>0</v>
      </c>
      <c r="L10" s="53"/>
      <c r="M10" s="53">
        <f>ROUND(((fy19_summary_bnft_projection!O20-fy19_summary_bnft_projection!I57)/fy19_summary_bnft_projection!$O$43),3)</f>
        <v>0</v>
      </c>
      <c r="N10" s="53"/>
      <c r="O10" s="53">
        <f>ROUND(((fy19_summary_bnft_projection!Q20)/fy19_summary_bnft_projection!$Q$43),3)</f>
        <v>0</v>
      </c>
    </row>
    <row r="11" spans="2:15" x14ac:dyDescent="0.25">
      <c r="B11" s="55" t="s">
        <v>118</v>
      </c>
      <c r="C11" s="56">
        <f>ROUND((0.85*C$16),3)</f>
        <v>6.8000000000000005E-2</v>
      </c>
      <c r="D11" s="56"/>
      <c r="E11" s="56">
        <f>ROUND((0.85*E$16),3)</f>
        <v>0.11899999999999999</v>
      </c>
      <c r="F11" s="56"/>
      <c r="G11" s="56">
        <f t="shared" si="0"/>
        <v>0.11899999999999999</v>
      </c>
      <c r="H11" s="56"/>
      <c r="I11" s="56">
        <f>ROUND((0.85*I$16),3)</f>
        <v>0</v>
      </c>
      <c r="J11" s="56"/>
      <c r="K11" s="56">
        <f>ROUND((0.85*K$16),3)</f>
        <v>0</v>
      </c>
      <c r="L11" s="56"/>
      <c r="M11" s="56">
        <f>ROUND((0.85*M$16),3)</f>
        <v>2.1000000000000001E-2</v>
      </c>
      <c r="N11" s="56"/>
      <c r="O11" s="56">
        <f>ROUND((0.85*O$16),3)</f>
        <v>0</v>
      </c>
    </row>
    <row r="12" spans="2:15" x14ac:dyDescent="0.25">
      <c r="B12" s="55" t="s">
        <v>119</v>
      </c>
      <c r="C12" s="56">
        <f>ROUND((0.12*C$16),3)</f>
        <v>0.01</v>
      </c>
      <c r="D12" s="56"/>
      <c r="E12" s="56">
        <f>ROUND((0.12*E$16),3)</f>
        <v>1.7000000000000001E-2</v>
      </c>
      <c r="F12" s="56"/>
      <c r="G12" s="56">
        <f t="shared" si="0"/>
        <v>1.7000000000000001E-2</v>
      </c>
      <c r="H12" s="56"/>
      <c r="I12" s="56">
        <f>ROUND((0.12*I$16),3)</f>
        <v>0</v>
      </c>
      <c r="J12" s="56"/>
      <c r="K12" s="56">
        <f>ROUND((0.12*K$16),3)</f>
        <v>0</v>
      </c>
      <c r="L12" s="56"/>
      <c r="M12" s="56">
        <f>ROUND((0.12*M$16),3)</f>
        <v>3.0000000000000001E-3</v>
      </c>
      <c r="N12" s="56"/>
      <c r="O12" s="56">
        <f>ROUND((0.12*O$16),3)</f>
        <v>0</v>
      </c>
    </row>
    <row r="13" spans="2:15" x14ac:dyDescent="0.25">
      <c r="B13" s="55" t="s">
        <v>120</v>
      </c>
      <c r="C13" s="56">
        <f>ROUND((0.01*C$16),3)</f>
        <v>1E-3</v>
      </c>
      <c r="D13" s="56"/>
      <c r="E13" s="56">
        <f>ROUND((0.01*E$16),3)</f>
        <v>1E-3</v>
      </c>
      <c r="F13" s="56"/>
      <c r="G13" s="56">
        <f t="shared" si="0"/>
        <v>1E-3</v>
      </c>
      <c r="H13" s="56"/>
      <c r="I13" s="56">
        <f>ROUND((0.01*I$16),3)</f>
        <v>0</v>
      </c>
      <c r="J13" s="56"/>
      <c r="K13" s="56">
        <f>ROUND((0.01*K$16),3)</f>
        <v>0</v>
      </c>
      <c r="L13" s="56"/>
      <c r="M13" s="56">
        <f>ROUND((0.01*M$16),3)</f>
        <v>0</v>
      </c>
      <c r="N13" s="56"/>
      <c r="O13" s="56">
        <f>ROUND((0.01*O$16),3)</f>
        <v>0</v>
      </c>
    </row>
    <row r="14" spans="2:15" x14ac:dyDescent="0.25">
      <c r="B14" s="55" t="s">
        <v>121</v>
      </c>
      <c r="C14" s="56">
        <f>ROUND((0.02*C$16),3)</f>
        <v>2E-3</v>
      </c>
      <c r="D14" s="56"/>
      <c r="E14" s="56">
        <f>ROUND((0.02*E$16),3)</f>
        <v>3.0000000000000001E-3</v>
      </c>
      <c r="F14" s="56"/>
      <c r="G14" s="56">
        <f t="shared" si="0"/>
        <v>3.0000000000000001E-3</v>
      </c>
      <c r="H14" s="56"/>
      <c r="I14" s="56">
        <f>ROUND((0.02*I$16),3)</f>
        <v>0</v>
      </c>
      <c r="J14" s="56"/>
      <c r="K14" s="56">
        <f>ROUND((0.02*K$16),3)</f>
        <v>0</v>
      </c>
      <c r="L14" s="56"/>
      <c r="M14" s="56">
        <f>ROUND((0.02*M$16),3)</f>
        <v>1E-3</v>
      </c>
      <c r="N14" s="56"/>
      <c r="O14" s="56">
        <f>ROUND((0.02*O$16),3)</f>
        <v>0</v>
      </c>
    </row>
    <row r="15" spans="2:15" x14ac:dyDescent="0.25">
      <c r="B15" s="55" t="s">
        <v>122</v>
      </c>
      <c r="C15" s="56">
        <f>SUM(C11:C14)</f>
        <v>8.1000000000000003E-2</v>
      </c>
      <c r="D15" s="56"/>
      <c r="E15" s="56">
        <f>SUM(E11:E14)</f>
        <v>0.14000000000000001</v>
      </c>
      <c r="F15" s="56"/>
      <c r="G15" s="56">
        <f t="shared" si="0"/>
        <v>0.14000000000000001</v>
      </c>
      <c r="H15" s="56"/>
      <c r="I15" s="56">
        <f>SUM(I11:I14)</f>
        <v>0</v>
      </c>
      <c r="J15" s="56"/>
      <c r="K15" s="56">
        <f>SUM(K11:K14)</f>
        <v>0</v>
      </c>
      <c r="L15" s="56"/>
      <c r="M15" s="56">
        <f>SUM(M11:M14)</f>
        <v>2.5000000000000001E-2</v>
      </c>
      <c r="N15" s="56"/>
      <c r="O15" s="56">
        <f>SUM(O11:O14)</f>
        <v>0</v>
      </c>
    </row>
    <row r="16" spans="2:15" x14ac:dyDescent="0.25">
      <c r="B16" s="54" t="s">
        <v>123</v>
      </c>
      <c r="C16" s="53">
        <f>ROUND(((fy19_summary_bnft_projection!D28-fy19_summary_bnft_projection!D65)/fy19_summary_bnft_projection!$D$43),3)-0.0135</f>
        <v>8.0500000000000002E-2</v>
      </c>
      <c r="D16" s="53"/>
      <c r="E16" s="53">
        <f>ROUND(((fy19_summary_bnft_projection!F28-fy19_summary_bnft_projection!E65)/fy19_summary_bnft_projection!$F$43),3)-0.00055</f>
        <v>0.14044999999999999</v>
      </c>
      <c r="F16" s="53"/>
      <c r="G16" s="53">
        <f t="shared" si="0"/>
        <v>0.14044999999999999</v>
      </c>
      <c r="H16" s="53"/>
      <c r="I16" s="53">
        <f>ROUND(((fy19_summary_bnft_projection!K28-fy19_summary_bnft_projection!G65)/fy19_summary_bnft_projection!$K$43),3)</f>
        <v>0</v>
      </c>
      <c r="J16" s="53"/>
      <c r="K16" s="53">
        <f>ROUND(((fy19_summary_bnft_projection!M28-fy19_summary_bnft_projection!I65)/fy19_summary_bnft_projection!$M$43),3)</f>
        <v>0</v>
      </c>
      <c r="L16" s="53"/>
      <c r="M16" s="53">
        <f>ROUND(((fy19_summary_bnft_projection!O28)/fy19_summary_bnft_projection!$O$43),3)</f>
        <v>2.5000000000000001E-2</v>
      </c>
      <c r="N16" s="53"/>
      <c r="O16" s="53">
        <f>ROUND(((fy19_summary_bnft_projection!Q28)/fy19_summary_bnft_projection!$Q$43),3)</f>
        <v>0</v>
      </c>
    </row>
    <row r="17" spans="2:17" x14ac:dyDescent="0.25">
      <c r="B17" s="54" t="s">
        <v>124</v>
      </c>
      <c r="C17" s="53">
        <f>ROUND((((fy19_summary_bnft_projection!D29+fy19_summary_bnft_projection!D26)-(fy19_summary_bnft_projection!D63+fy19_summary_bnft_projection!D66))/fy19_summary_bnft_projection!$D$43),3)</f>
        <v>3.0000000000000001E-3</v>
      </c>
      <c r="D17" s="53"/>
      <c r="E17" s="53">
        <f>ROUND((((fy19_summary_bnft_projection!F29+fy19_summary_bnft_projection!F26)-(fy19_summary_bnft_projection!E63+fy19_summary_bnft_projection!E66))/fy19_summary_bnft_projection!$F$43),3)</f>
        <v>3.0000000000000001E-3</v>
      </c>
      <c r="F17" s="53"/>
      <c r="G17" s="53">
        <f t="shared" si="0"/>
        <v>3.0000000000000001E-3</v>
      </c>
      <c r="H17" s="53"/>
      <c r="I17" s="53">
        <f>ROUND((((fy19_summary_bnft_projection!K29+fy19_summary_bnft_projection!K26)-(fy19_summary_bnft_projection!G63+fy19_summary_bnft_projection!G66))/fy19_summary_bnft_projection!$K$43),3)</f>
        <v>3.0000000000000001E-3</v>
      </c>
      <c r="J17" s="53"/>
      <c r="K17" s="53">
        <f>ROUND((((fy19_summary_bnft_projection!M29+fy19_summary_bnft_projection!M26))/fy19_summary_bnft_projection!$M$43),3)</f>
        <v>3.0000000000000001E-3</v>
      </c>
      <c r="L17" s="53"/>
      <c r="M17" s="53">
        <f>ROUND((((fy19_summary_bnft_projection!O29+fy19_summary_bnft_projection!O26))/fy19_summary_bnft_projection!$O$43),3)</f>
        <v>0</v>
      </c>
      <c r="N17" s="53"/>
      <c r="O17" s="53">
        <f>ROUND((((fy19_summary_bnft_projection!Q29+fy19_summary_bnft_projection!Q26)-(fy19_summary_bnft_projection!I63+fy19_summary_bnft_projection!I66))/fy19_summary_bnft_projection!$Q$43),3)</f>
        <v>2E-3</v>
      </c>
    </row>
    <row r="18" spans="2:17" x14ac:dyDescent="0.25">
      <c r="B18" s="54" t="s">
        <v>125</v>
      </c>
      <c r="C18" s="53">
        <f>ROUND(((fy19_summary_bnft_projection!D21-fy19_summary_bnft_projection!D58)/fy19_summary_bnft_projection!$D$43),3)</f>
        <v>3.0000000000000001E-3</v>
      </c>
      <c r="D18" s="53"/>
      <c r="E18" s="53">
        <f>ROUND(((fy19_summary_bnft_projection!F21-fy19_summary_bnft_projection!E58)/fy19_summary_bnft_projection!$F$43),3)</f>
        <v>3.0000000000000001E-3</v>
      </c>
      <c r="F18" s="53"/>
      <c r="G18" s="53">
        <f t="shared" si="0"/>
        <v>3.0000000000000001E-3</v>
      </c>
      <c r="H18" s="53"/>
      <c r="I18" s="53">
        <f>ROUND(((fy19_summary_bnft_projection!K21-fy19_summary_bnft_projection!G58)/fy19_summary_bnft_projection!$K$43),3)</f>
        <v>0</v>
      </c>
      <c r="J18" s="53"/>
      <c r="K18" s="53">
        <f>ROUND(((fy19_summary_bnft_projection!M21-fy19_summary_bnft_projection!I58)/fy19_summary_bnft_projection!$M$43),3)</f>
        <v>0</v>
      </c>
      <c r="L18" s="53"/>
      <c r="M18" s="53">
        <f>ROUND(((fy19_summary_bnft_projection!O21-fy19_summary_bnft_projection!I58)/fy19_summary_bnft_projection!$O$43),3)</f>
        <v>0</v>
      </c>
      <c r="N18" s="53"/>
      <c r="O18" s="53">
        <f>ROUND(((fy19_summary_bnft_projection!Q21)/fy19_summary_bnft_projection!$Q$43),3)</f>
        <v>0</v>
      </c>
      <c r="Q18" s="57"/>
    </row>
    <row r="19" spans="2:17" x14ac:dyDescent="0.25">
      <c r="B19" s="54" t="s">
        <v>126</v>
      </c>
      <c r="C19" s="53">
        <f>ROUND(((fy19_summary_bnft_projection!D22-fy19_summary_bnft_projection!D59)/fy19_summary_bnft_projection!$D$43),3)</f>
        <v>3.0000000000000001E-3</v>
      </c>
      <c r="D19" s="53"/>
      <c r="E19" s="53">
        <f>ROUND(((fy19_summary_bnft_projection!F22-fy19_summary_bnft_projection!E59)/fy19_summary_bnft_projection!$F$43),3)</f>
        <v>3.0000000000000001E-3</v>
      </c>
      <c r="F19" s="53"/>
      <c r="G19" s="53">
        <f t="shared" si="0"/>
        <v>3.0000000000000001E-3</v>
      </c>
      <c r="H19" s="53"/>
      <c r="I19" s="53">
        <f>ROUND(((fy19_summary_bnft_projection!K22-fy19_summary_bnft_projection!G59)/fy19_summary_bnft_projection!$K$43),3)</f>
        <v>0</v>
      </c>
      <c r="J19" s="53"/>
      <c r="K19" s="53">
        <f>ROUND(((fy19_summary_bnft_projection!M22-fy19_summary_bnft_projection!I59)/fy19_summary_bnft_projection!$M$43),3)</f>
        <v>0</v>
      </c>
      <c r="L19" s="53"/>
      <c r="M19" s="53">
        <f>ROUND(((fy19_summary_bnft_projection!O22-fy19_summary_bnft_projection!I59)/fy19_summary_bnft_projection!$O$43),3)</f>
        <v>0</v>
      </c>
      <c r="N19" s="53"/>
      <c r="O19" s="53">
        <f>ROUND(((fy19_summary_bnft_projection!Q22)/fy19_summary_bnft_projection!$Q$43),3)</f>
        <v>0</v>
      </c>
    </row>
    <row r="20" spans="2:17" x14ac:dyDescent="0.25">
      <c r="B20" s="54" t="s">
        <v>127</v>
      </c>
      <c r="C20" s="53">
        <f>ROUND(((fy19_summary_bnft_projection!D23-fy19_summary_bnft_projection!D60)/fy19_summary_bnft_projection!$D$43),3)</f>
        <v>0</v>
      </c>
      <c r="D20" s="53"/>
      <c r="E20" s="53">
        <f>ROUND(((fy19_summary_bnft_projection!F23-fy19_summary_bnft_projection!E60)/fy19_summary_bnft_projection!$F$43),3)</f>
        <v>0</v>
      </c>
      <c r="F20" s="53"/>
      <c r="G20" s="53">
        <f t="shared" si="0"/>
        <v>0</v>
      </c>
      <c r="H20" s="53"/>
      <c r="I20" s="53">
        <f>ROUND(((fy19_summary_bnft_projection!K23-fy19_summary_bnft_projection!G60)/fy19_summary_bnft_projection!$K$43),3)</f>
        <v>0</v>
      </c>
      <c r="J20" s="53"/>
      <c r="K20" s="53">
        <f>ROUND(((fy19_summary_bnft_projection!M23-fy19_summary_bnft_projection!I60)/fy19_summary_bnft_projection!$M$43),3)</f>
        <v>0</v>
      </c>
      <c r="L20" s="53"/>
      <c r="M20" s="53">
        <f>ROUND(((fy19_summary_bnft_projection!O23-fy19_summary_bnft_projection!I60)/fy19_summary_bnft_projection!$O$43),3)</f>
        <v>0</v>
      </c>
      <c r="N20" s="53"/>
      <c r="O20" s="53">
        <f>ROUND(((fy19_summary_bnft_projection!Q23)/fy19_summary_bnft_projection!$Q$43),3)</f>
        <v>0</v>
      </c>
    </row>
    <row r="21" spans="2:17" x14ac:dyDescent="0.25">
      <c r="B21" s="54" t="s">
        <v>128</v>
      </c>
      <c r="C21" s="53">
        <f>ROUND(((fy19_summary_bnft_projection!D24-fy19_summary_bnft_projection!D61)/fy19_summary_bnft_projection!$D$43),3)</f>
        <v>2E-3</v>
      </c>
      <c r="D21" s="53"/>
      <c r="E21" s="53">
        <f>ROUND(((fy19_summary_bnft_projection!F24-fy19_summary_bnft_projection!E61)/fy19_summary_bnft_projection!$F$43),3)</f>
        <v>2E-3</v>
      </c>
      <c r="F21" s="53"/>
      <c r="G21" s="53">
        <f t="shared" si="0"/>
        <v>2E-3</v>
      </c>
      <c r="H21" s="53"/>
      <c r="I21" s="53">
        <f>ROUND(((fy19_summary_bnft_projection!K24-fy19_summary_bnft_projection!G61)/fy19_summary_bnft_projection!$K$43),3)</f>
        <v>2E-3</v>
      </c>
      <c r="J21" s="53"/>
      <c r="K21" s="53">
        <f>ROUND(((fy19_summary_bnft_projection!M24)/fy19_summary_bnft_projection!$M$43),3)</f>
        <v>2E-3</v>
      </c>
      <c r="L21" s="53"/>
      <c r="M21" s="53">
        <f>ROUND(((fy19_summary_bnft_projection!O24)/fy19_summary_bnft_projection!$O$43),3)</f>
        <v>0</v>
      </c>
      <c r="N21" s="53"/>
      <c r="O21" s="53">
        <f>ROUND(((fy19_summary_bnft_projection!Q24-fy19_summary_bnft_projection!I61)/fy19_summary_bnft_projection!$Q$43),3)</f>
        <v>2E-3</v>
      </c>
    </row>
    <row r="22" spans="2:17" x14ac:dyDescent="0.25">
      <c r="B22" s="54" t="s">
        <v>129</v>
      </c>
      <c r="C22" s="53">
        <f>ROUND(((fy19_summary_bnft_projection!D30-fy19_summary_bnft_projection!D67)/fy19_summary_bnft_projection!$D$43),3)</f>
        <v>0</v>
      </c>
      <c r="D22" s="53"/>
      <c r="E22" s="53">
        <f>ROUND(((fy19_summary_bnft_projection!F30-fy19_summary_bnft_projection!E67)/fy19_summary_bnft_projection!$F$43),3)</f>
        <v>1E-3</v>
      </c>
      <c r="F22" s="53"/>
      <c r="G22" s="53">
        <f t="shared" si="0"/>
        <v>1E-3</v>
      </c>
      <c r="H22" s="53"/>
      <c r="I22" s="53">
        <f>ROUND(((fy19_summary_bnft_projection!K30-fy19_summary_bnft_projection!G67)/fy19_summary_bnft_projection!$K$43),3)</f>
        <v>0</v>
      </c>
      <c r="J22" s="53"/>
      <c r="K22" s="53">
        <f>ROUND(((fy19_summary_bnft_projection!M30)/fy19_summary_bnft_projection!$M$43),3)</f>
        <v>0</v>
      </c>
      <c r="L22" s="53"/>
      <c r="M22" s="53">
        <f>ROUND(((fy19_summary_bnft_projection!O30-fy19_summary_bnft_projection!I67)/fy19_summary_bnft_projection!$O$43),3)</f>
        <v>0</v>
      </c>
      <c r="N22" s="53"/>
      <c r="O22" s="53">
        <f>ROUND(((fy19_summary_bnft_projection!Q30)/fy19_summary_bnft_projection!$Q$43),3)</f>
        <v>0</v>
      </c>
    </row>
    <row r="23" spans="2:17" x14ac:dyDescent="0.25">
      <c r="B23" s="54" t="s">
        <v>130</v>
      </c>
      <c r="C23" s="53">
        <f>ROUND(((fy19_summary_bnft_projection!D31-fy19_summary_bnft_projection!D68)/fy19_summary_bnft_projection!$D$43),3)</f>
        <v>5.0000000000000001E-3</v>
      </c>
      <c r="D23" s="53"/>
      <c r="E23" s="53">
        <f>ROUND(((fy19_summary_bnft_projection!F31-fy19_summary_bnft_projection!E68)/fy19_summary_bnft_projection!$F$43),3)</f>
        <v>7.0000000000000001E-3</v>
      </c>
      <c r="F23" s="53"/>
      <c r="G23" s="53">
        <f t="shared" si="0"/>
        <v>7.0000000000000001E-3</v>
      </c>
      <c r="H23" s="53"/>
      <c r="I23" s="53">
        <f>ROUND(((fy19_summary_bnft_projection!K31-fy19_summary_bnft_projection!G68)/fy19_summary_bnft_projection!$K$43),3)</f>
        <v>0</v>
      </c>
      <c r="J23" s="53"/>
      <c r="K23" s="53">
        <f>ROUND(((fy19_summary_bnft_projection!M31)/fy19_summary_bnft_projection!$M$43),3)</f>
        <v>0</v>
      </c>
      <c r="L23" s="53"/>
      <c r="M23" s="53">
        <f>ROUND(((fy19_summary_bnft_projection!O31)/fy19_summary_bnft_projection!$O$43),3)</f>
        <v>1E-3</v>
      </c>
      <c r="N23" s="53"/>
      <c r="O23" s="53">
        <f>ROUND(((fy19_summary_bnft_projection!Q31)/fy19_summary_bnft_projection!$Q$43),3)</f>
        <v>0</v>
      </c>
    </row>
    <row r="24" spans="2:17" x14ac:dyDescent="0.25">
      <c r="B24" s="54" t="s">
        <v>131</v>
      </c>
      <c r="C24" s="53">
        <f>ROUND(((fy19_summary_bnft_projection!D27-fy19_summary_bnft_projection!D64)/fy19_summary_bnft_projection!$D$43),3)</f>
        <v>0</v>
      </c>
      <c r="D24" s="53"/>
      <c r="E24" s="53">
        <f>ROUND(((fy19_summary_bnft_projection!F27-fy19_summary_bnft_projection!E64)/fy19_summary_bnft_projection!$F$43),3)</f>
        <v>0</v>
      </c>
      <c r="F24" s="53"/>
      <c r="G24" s="53">
        <f t="shared" si="0"/>
        <v>0</v>
      </c>
      <c r="H24" s="53"/>
      <c r="I24" s="53">
        <f>ROUND(((fy19_summary_bnft_projection!K27-fy19_summary_bnft_projection!G64)/fy19_summary_bnft_projection!$K$43),3)</f>
        <v>0</v>
      </c>
      <c r="J24" s="53"/>
      <c r="K24" s="53">
        <f>ROUND(((fy19_summary_bnft_projection!M27)/fy19_summary_bnft_projection!$M$43),3)</f>
        <v>0</v>
      </c>
      <c r="L24" s="53"/>
      <c r="M24" s="53">
        <f>ROUND(((fy19_summary_bnft_projection!O27)/fy19_summary_bnft_projection!$O$43),3)</f>
        <v>0</v>
      </c>
      <c r="N24" s="53"/>
      <c r="O24" s="53">
        <f>ROUND(((fy19_summary_bnft_projection!Q27-fy19_summary_bnft_projection!I64)/fy19_summary_bnft_projection!$Q$43),3)-0.004</f>
        <v>9.7000000000000003E-2</v>
      </c>
      <c r="Q24" s="58"/>
    </row>
    <row r="25" spans="2:17" x14ac:dyDescent="0.25">
      <c r="B25" s="54" t="s">
        <v>132</v>
      </c>
      <c r="C25" s="53">
        <f>ROUND(((fy19_summary_bnft_projection!D32-fy19_summary_bnft_projection!D69)/fy19_summary_bnft_projection!$D$43),3)</f>
        <v>8.0000000000000002E-3</v>
      </c>
      <c r="D25" s="53"/>
      <c r="E25" s="53">
        <f>ROUND(((fy19_summary_bnft_projection!F32-fy19_summary_bnft_projection!E69)/fy19_summary_bnft_projection!$F$43),3)</f>
        <v>1.2E-2</v>
      </c>
      <c r="F25" s="53"/>
      <c r="G25" s="53">
        <f t="shared" si="0"/>
        <v>1.2E-2</v>
      </c>
      <c r="H25" s="53"/>
      <c r="I25" s="53">
        <f>ROUND(((fy19_summary_bnft_projection!K32-fy19_summary_bnft_projection!G69)/fy19_summary_bnft_projection!$K$43),3)</f>
        <v>0</v>
      </c>
      <c r="J25" s="53"/>
      <c r="K25" s="53">
        <f>ROUND(((fy19_summary_bnft_projection!M32)/fy19_summary_bnft_projection!$M$43),3)</f>
        <v>0</v>
      </c>
      <c r="L25" s="53"/>
      <c r="M25" s="53">
        <f>ROUND(((fy19_summary_bnft_projection!O32)/fy19_summary_bnft_projection!$O$43),3)</f>
        <v>2E-3</v>
      </c>
      <c r="N25" s="53"/>
      <c r="O25" s="53">
        <f>ROUND(((fy19_summary_bnft_projection!Q32)/fy19_summary_bnft_projection!$Q$43),3)</f>
        <v>0</v>
      </c>
      <c r="Q25" s="58"/>
    </row>
    <row r="26" spans="2:17" x14ac:dyDescent="0.25">
      <c r="B26" s="54" t="s">
        <v>133</v>
      </c>
      <c r="C26" s="53">
        <f>ROUND(((fy19_summary_bnft_projection!D33)/fy19_summary_bnft_projection!$D$43),3)</f>
        <v>3.0000000000000001E-3</v>
      </c>
      <c r="D26" s="53"/>
      <c r="E26" s="53">
        <f>ROUND(((fy19_summary_bnft_projection!F33)/fy19_summary_bnft_projection!$D$43),3)</f>
        <v>7.0000000000000001E-3</v>
      </c>
      <c r="F26" s="53"/>
      <c r="G26" s="53">
        <f t="shared" si="0"/>
        <v>7.0000000000000001E-3</v>
      </c>
      <c r="H26" s="53"/>
      <c r="I26" s="53">
        <f>ROUND(((fy19_summary_bnft_projection!K33)/fy19_summary_bnft_projection!$K$43),3)</f>
        <v>0</v>
      </c>
      <c r="J26" s="53"/>
      <c r="K26" s="53">
        <f>ROUND(((fy19_summary_bnft_projection!M33)/fy19_summary_bnft_projection!$M$43),3)</f>
        <v>0</v>
      </c>
      <c r="L26" s="53"/>
      <c r="M26" s="53">
        <f>ROUND(((fy19_summary_bnft_projection!O33)/fy19_summary_bnft_projection!$O$43),3)</f>
        <v>1E-3</v>
      </c>
      <c r="N26" s="53"/>
      <c r="O26" s="53">
        <f>ROUND(((fy19_summary_bnft_projection!Q33)/fy19_summary_bnft_projection!$Q$43),3)</f>
        <v>0</v>
      </c>
      <c r="P26" s="59"/>
      <c r="Q26" s="58"/>
    </row>
    <row r="27" spans="2:17" x14ac:dyDescent="0.25">
      <c r="B27" s="60" t="s">
        <v>134</v>
      </c>
      <c r="C27" s="61">
        <f>SUM(C8:C14,C17:C26)</f>
        <v>0.26200000000000001</v>
      </c>
      <c r="D27" s="61"/>
      <c r="E27" s="61">
        <f>SUM(E8:E14,E17:E26)</f>
        <v>0.33200000000000007</v>
      </c>
      <c r="F27" s="61"/>
      <c r="G27" s="61">
        <f>SUM(G8:G14,G17:G26)</f>
        <v>0.33200000000000007</v>
      </c>
      <c r="H27" s="61"/>
      <c r="I27" s="61">
        <f>SUM(I8:I14,I17:I26)</f>
        <v>0.159</v>
      </c>
      <c r="J27" s="61"/>
      <c r="K27" s="61">
        <f>SUM(K8:K14,K17:K26)</f>
        <v>5.0000000000000001E-3</v>
      </c>
      <c r="L27" s="61"/>
      <c r="M27" s="61">
        <f>SUM(M8:M14,M17:M26)</f>
        <v>2.9000000000000005E-2</v>
      </c>
      <c r="N27" s="61"/>
      <c r="O27" s="61">
        <f>SUM(O8:O14,O17:O26)</f>
        <v>0.10100000000000001</v>
      </c>
      <c r="P27" s="59"/>
      <c r="Q27" s="58"/>
    </row>
    <row r="28" spans="2:17" ht="26.25" x14ac:dyDescent="0.4">
      <c r="B28" s="14"/>
      <c r="C28" s="62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59"/>
      <c r="Q28" s="58"/>
    </row>
    <row r="29" spans="2:17" s="69" customFormat="1" x14ac:dyDescent="0.25">
      <c r="B29" s="64" t="s">
        <v>135</v>
      </c>
      <c r="C29" s="65">
        <f>Rate_Summary!M9</f>
        <v>0.26200000000000001</v>
      </c>
      <c r="D29" s="65"/>
      <c r="E29" s="65">
        <f>Rate_Summary!M10</f>
        <v>0.33200000000000002</v>
      </c>
      <c r="F29" s="65"/>
      <c r="G29" s="65">
        <f>Rate_Summary!M11</f>
        <v>0.33200000000000002</v>
      </c>
      <c r="H29" s="65"/>
      <c r="I29" s="65">
        <f>Rate_Summary!M12</f>
        <v>0.159</v>
      </c>
      <c r="J29" s="66"/>
      <c r="K29" s="66">
        <f>Rate_Summary!M13</f>
        <v>5.0000000000000001E-3</v>
      </c>
      <c r="L29" s="67"/>
      <c r="M29" s="67">
        <f>Rate_Summary!M14</f>
        <v>2.9000000000000001E-2</v>
      </c>
      <c r="N29" s="67"/>
      <c r="O29" s="68">
        <f>Rate_Summary!M15</f>
        <v>0.10100000000000001</v>
      </c>
      <c r="Q29" s="70"/>
    </row>
    <row r="30" spans="2:17" ht="26.25" x14ac:dyDescent="0.4">
      <c r="B30" s="14"/>
      <c r="C30" s="71">
        <f>C27-C29</f>
        <v>0</v>
      </c>
      <c r="D30" s="71"/>
      <c r="E30" s="71">
        <f>E27-E29</f>
        <v>0</v>
      </c>
      <c r="F30" s="72"/>
      <c r="G30" s="71">
        <f>G27-G29</f>
        <v>0</v>
      </c>
      <c r="H30" s="72"/>
      <c r="I30" s="71">
        <f>I27-I29</f>
        <v>0</v>
      </c>
      <c r="J30" s="72"/>
      <c r="K30" s="71">
        <f>K27-K29</f>
        <v>0</v>
      </c>
      <c r="L30" s="72"/>
      <c r="M30" s="71">
        <f>M27-M29</f>
        <v>0</v>
      </c>
      <c r="N30" s="72"/>
      <c r="O30" s="71">
        <f>O27-O29</f>
        <v>0</v>
      </c>
      <c r="Q30" s="73"/>
    </row>
    <row r="31" spans="2:17" x14ac:dyDescent="0.25">
      <c r="B31" s="14"/>
      <c r="Q31" s="70"/>
    </row>
    <row r="32" spans="2:17" x14ac:dyDescent="0.25">
      <c r="B32" s="124" t="s">
        <v>372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40"/>
      <c r="Q32" s="73"/>
    </row>
    <row r="33" spans="2:17" x14ac:dyDescent="0.25">
      <c r="B33" s="124" t="s">
        <v>373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40"/>
      <c r="Q33" s="74"/>
    </row>
    <row r="34" spans="2:17" x14ac:dyDescent="0.25">
      <c r="B34" s="75"/>
    </row>
    <row r="35" spans="2:17" x14ac:dyDescent="0.25">
      <c r="B35" s="76"/>
      <c r="C35" s="43" t="s">
        <v>104</v>
      </c>
      <c r="D35" s="44"/>
      <c r="E35" s="44" t="s">
        <v>105</v>
      </c>
      <c r="F35" s="44"/>
      <c r="G35" s="44" t="s">
        <v>106</v>
      </c>
      <c r="H35" s="44"/>
      <c r="I35" s="44" t="s">
        <v>107</v>
      </c>
      <c r="J35" s="44"/>
      <c r="K35" s="44" t="s">
        <v>108</v>
      </c>
      <c r="L35" s="44"/>
      <c r="M35" s="44" t="s">
        <v>109</v>
      </c>
      <c r="N35" s="44"/>
      <c r="O35" s="45" t="s">
        <v>110</v>
      </c>
    </row>
    <row r="36" spans="2:17" x14ac:dyDescent="0.25">
      <c r="B36" s="76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</row>
    <row r="37" spans="2:17" x14ac:dyDescent="0.25">
      <c r="B37" s="76"/>
      <c r="C37" s="49" t="s">
        <v>112</v>
      </c>
      <c r="D37" s="50"/>
      <c r="E37" s="50" t="s">
        <v>272</v>
      </c>
      <c r="F37" s="50"/>
      <c r="G37" s="50" t="s">
        <v>272</v>
      </c>
      <c r="H37" s="50"/>
      <c r="I37" s="50" t="s">
        <v>113</v>
      </c>
      <c r="J37" s="50"/>
      <c r="K37" s="50" t="s">
        <v>114</v>
      </c>
      <c r="L37" s="50"/>
      <c r="M37" s="50" t="s">
        <v>115</v>
      </c>
      <c r="N37" s="50"/>
      <c r="O37" s="51" t="s">
        <v>116</v>
      </c>
    </row>
    <row r="38" spans="2:17" x14ac:dyDescent="0.25">
      <c r="B38" s="76"/>
    </row>
    <row r="39" spans="2:17" x14ac:dyDescent="0.25">
      <c r="B39" s="52" t="s">
        <v>36</v>
      </c>
      <c r="C39" s="53">
        <f>ROUND((fy19_summary_bnft_projection!E18/fy19_summary_bnft_projection!$E$13),3)</f>
        <v>0.14099999999999999</v>
      </c>
      <c r="D39" s="53"/>
      <c r="E39" s="53">
        <f>ROUND((fy19_summary_bnft_projection!G18/fy19_summary_bnft_projection!$G$13),3)</f>
        <v>0</v>
      </c>
      <c r="F39" s="53"/>
      <c r="G39" s="53">
        <f>E39</f>
        <v>0</v>
      </c>
      <c r="H39" s="53"/>
      <c r="I39" s="53">
        <f>ROUND((fy19_summary_bnft_projection!L18/fy19_summary_bnft_projection!$L$13),3)</f>
        <v>0.14099999999999999</v>
      </c>
      <c r="J39" s="53"/>
      <c r="K39" s="53">
        <f>ROUND((fy19_summary_bnft_projection!N18/fy19_summary_bnft_projection!$N$13),3)</f>
        <v>0</v>
      </c>
      <c r="L39" s="53"/>
      <c r="M39" s="53">
        <f>M8</f>
        <v>0</v>
      </c>
      <c r="N39" s="53"/>
      <c r="O39" s="53">
        <f>ROUND((fy19_summary_bnft_projection!R18/fy19_summary_bnft_projection!$R$13),3)</f>
        <v>0</v>
      </c>
      <c r="P39" s="72"/>
      <c r="Q39" s="59"/>
    </row>
    <row r="40" spans="2:17" x14ac:dyDescent="0.25">
      <c r="B40" s="54" t="s">
        <v>38</v>
      </c>
      <c r="C40" s="53">
        <f>ROUND((fy19_summary_bnft_projection!E19/fy19_summary_bnft_projection!$E$13),3)</f>
        <v>0</v>
      </c>
      <c r="D40" s="53"/>
      <c r="E40" s="53">
        <f>ROUND((fy19_summary_bnft_projection!G19/fy19_summary_bnft_projection!$G$13),3)</f>
        <v>0.14099999999999999</v>
      </c>
      <c r="F40" s="53"/>
      <c r="G40" s="53">
        <f t="shared" ref="G40:G57" si="1">E40</f>
        <v>0.14099999999999999</v>
      </c>
      <c r="H40" s="53"/>
      <c r="I40" s="53">
        <f>ROUND((fy19_summary_bnft_projection!L19/fy19_summary_bnft_projection!$L$13),3)</f>
        <v>0</v>
      </c>
      <c r="J40" s="53"/>
      <c r="K40" s="53">
        <f>ROUND((fy19_summary_bnft_projection!N19/fy19_summary_bnft_projection!$N$13),3)</f>
        <v>0</v>
      </c>
      <c r="L40" s="53"/>
      <c r="M40" s="53">
        <f>M9</f>
        <v>0</v>
      </c>
      <c r="N40" s="53"/>
      <c r="O40" s="53">
        <f>ROUND((fy19_summary_bnft_projection!R19/fy19_summary_bnft_projection!$R$13),3)</f>
        <v>0</v>
      </c>
      <c r="P40" s="72"/>
      <c r="Q40" s="59"/>
    </row>
    <row r="41" spans="2:17" x14ac:dyDescent="0.25">
      <c r="B41" s="54" t="s">
        <v>117</v>
      </c>
      <c r="C41" s="53">
        <f>ROUND((fy19_summary_bnft_projection!E20/fy19_summary_bnft_projection!$E$13),3)</f>
        <v>1.2999999999999999E-2</v>
      </c>
      <c r="D41" s="53"/>
      <c r="E41" s="53">
        <f>ROUND((fy19_summary_bnft_projection!G20/fy19_summary_bnft_projection!$G$13),3)</f>
        <v>1.2999999999999999E-2</v>
      </c>
      <c r="F41" s="53"/>
      <c r="G41" s="53">
        <f t="shared" si="1"/>
        <v>1.2999999999999999E-2</v>
      </c>
      <c r="H41" s="53"/>
      <c r="I41" s="53">
        <f>ROUND((fy19_summary_bnft_projection!L20/fy19_summary_bnft_projection!$L$13),3)</f>
        <v>1.2999999999999999E-2</v>
      </c>
      <c r="J41" s="53"/>
      <c r="K41" s="53">
        <f>ROUND((fy19_summary_bnft_projection!N20/fy19_summary_bnft_projection!$N$13),3)</f>
        <v>0</v>
      </c>
      <c r="L41" s="53"/>
      <c r="M41" s="53">
        <f>M10</f>
        <v>0</v>
      </c>
      <c r="N41" s="53"/>
      <c r="O41" s="53">
        <f>ROUND((fy19_summary_bnft_projection!R20/fy19_summary_bnft_projection!$R$13),3)</f>
        <v>0</v>
      </c>
      <c r="P41" s="72"/>
      <c r="Q41" s="59"/>
    </row>
    <row r="42" spans="2:17" x14ac:dyDescent="0.25">
      <c r="B42" s="55" t="s">
        <v>118</v>
      </c>
      <c r="C42" s="56">
        <f>ROUND((0.85*C$47),3)</f>
        <v>0.122</v>
      </c>
      <c r="D42" s="56"/>
      <c r="E42" s="56">
        <f>ROUND((0.85*E$47),3)</f>
        <v>0.11</v>
      </c>
      <c r="F42" s="56"/>
      <c r="G42" s="56">
        <f t="shared" si="1"/>
        <v>0.11</v>
      </c>
      <c r="H42" s="56"/>
      <c r="I42" s="56">
        <f>ROUND((0.85*I$47),3)</f>
        <v>0</v>
      </c>
      <c r="J42" s="56"/>
      <c r="K42" s="56">
        <f>ROUND((0.85*K$47),3)</f>
        <v>0</v>
      </c>
      <c r="L42" s="56"/>
      <c r="M42" s="56">
        <f>M11</f>
        <v>2.1000000000000001E-2</v>
      </c>
      <c r="N42" s="56"/>
      <c r="O42" s="56">
        <v>0</v>
      </c>
      <c r="P42" s="72"/>
      <c r="Q42" s="59"/>
    </row>
    <row r="43" spans="2:17" x14ac:dyDescent="0.25">
      <c r="B43" s="55" t="s">
        <v>119</v>
      </c>
      <c r="C43" s="56">
        <f>ROUND((0.12*C$47),3)</f>
        <v>1.7000000000000001E-2</v>
      </c>
      <c r="D43" s="56"/>
      <c r="E43" s="56">
        <f>ROUND((0.12*E$47),3)</f>
        <v>1.4999999999999999E-2</v>
      </c>
      <c r="F43" s="56"/>
      <c r="G43" s="56">
        <f t="shared" si="1"/>
        <v>1.4999999999999999E-2</v>
      </c>
      <c r="H43" s="56"/>
      <c r="I43" s="56">
        <f>ROUND((0.12*I$47),3)</f>
        <v>0</v>
      </c>
      <c r="J43" s="56"/>
      <c r="K43" s="56">
        <f>ROUND((0.12*K$47),3)</f>
        <v>0</v>
      </c>
      <c r="L43" s="56"/>
      <c r="M43" s="56">
        <f>M12</f>
        <v>3.0000000000000001E-3</v>
      </c>
      <c r="N43" s="56"/>
      <c r="O43" s="56">
        <v>0</v>
      </c>
      <c r="P43" s="72"/>
      <c r="Q43" s="59"/>
    </row>
    <row r="44" spans="2:17" x14ac:dyDescent="0.25">
      <c r="B44" s="55" t="s">
        <v>120</v>
      </c>
      <c r="C44" s="56">
        <f>ROUND((0.01*C$47),3)</f>
        <v>1E-3</v>
      </c>
      <c r="D44" s="56"/>
      <c r="E44" s="56">
        <f>ROUND((0.01*E$47),3)</f>
        <v>1E-3</v>
      </c>
      <c r="F44" s="56"/>
      <c r="G44" s="56">
        <f t="shared" si="1"/>
        <v>1E-3</v>
      </c>
      <c r="H44" s="56"/>
      <c r="I44" s="56">
        <f>ROUND((0.01*I$47),3)</f>
        <v>0</v>
      </c>
      <c r="J44" s="56"/>
      <c r="K44" s="56">
        <f>ROUND((0.01*K$47),3)</f>
        <v>0</v>
      </c>
      <c r="L44" s="56"/>
      <c r="M44" s="56">
        <f t="shared" ref="M44:M45" si="2">M13</f>
        <v>0</v>
      </c>
      <c r="N44" s="56"/>
      <c r="O44" s="56">
        <v>0</v>
      </c>
      <c r="P44" s="72"/>
      <c r="Q44" s="59"/>
    </row>
    <row r="45" spans="2:17" x14ac:dyDescent="0.25">
      <c r="B45" s="55" t="s">
        <v>121</v>
      </c>
      <c r="C45" s="56">
        <f>ROUND((0.02*C$47),3)</f>
        <v>3.0000000000000001E-3</v>
      </c>
      <c r="D45" s="56"/>
      <c r="E45" s="56">
        <f>ROUND((0.02*E$47),3)</f>
        <v>3.0000000000000001E-3</v>
      </c>
      <c r="F45" s="56"/>
      <c r="G45" s="56">
        <f t="shared" si="1"/>
        <v>3.0000000000000001E-3</v>
      </c>
      <c r="H45" s="56"/>
      <c r="I45" s="56">
        <f>ROUND((0.02*I$47),3)</f>
        <v>0</v>
      </c>
      <c r="J45" s="56"/>
      <c r="K45" s="56">
        <f>ROUND((0.02*K$47),3)</f>
        <v>0</v>
      </c>
      <c r="L45" s="56"/>
      <c r="M45" s="56">
        <f t="shared" si="2"/>
        <v>1E-3</v>
      </c>
      <c r="N45" s="56"/>
      <c r="O45" s="56">
        <v>0</v>
      </c>
      <c r="P45" s="72"/>
      <c r="Q45" s="59"/>
    </row>
    <row r="46" spans="2:17" x14ac:dyDescent="0.25">
      <c r="B46" s="55" t="s">
        <v>122</v>
      </c>
      <c r="C46" s="56">
        <f>SUM(C42:C45)</f>
        <v>0.14300000000000002</v>
      </c>
      <c r="D46" s="56"/>
      <c r="E46" s="56">
        <f>SUM(E42:E45)</f>
        <v>0.129</v>
      </c>
      <c r="F46" s="56"/>
      <c r="G46" s="56">
        <f t="shared" si="1"/>
        <v>0.129</v>
      </c>
      <c r="H46" s="56"/>
      <c r="I46" s="56">
        <f>SUM(I42:I45)</f>
        <v>0</v>
      </c>
      <c r="J46" s="56"/>
      <c r="K46" s="56">
        <f>SUM(K42:K45)</f>
        <v>0</v>
      </c>
      <c r="L46" s="56"/>
      <c r="M46" s="56">
        <f>M15</f>
        <v>2.5000000000000001E-2</v>
      </c>
      <c r="N46" s="56"/>
      <c r="O46" s="56">
        <f>SUM(O42:O45)</f>
        <v>0</v>
      </c>
      <c r="P46" s="72"/>
      <c r="Q46" s="59"/>
    </row>
    <row r="47" spans="2:17" x14ac:dyDescent="0.25">
      <c r="B47" s="54" t="s">
        <v>123</v>
      </c>
      <c r="C47" s="53">
        <f>ROUND((fy19_summary_bnft_projection!E28/fy19_summary_bnft_projection!$E$13),3)-0.02</f>
        <v>0.14300000000000002</v>
      </c>
      <c r="D47" s="53"/>
      <c r="E47" s="53">
        <f>ROUND((fy19_summary_bnft_projection!G28/fy19_summary_bnft_projection!$G$13),3)</f>
        <v>0.129</v>
      </c>
      <c r="F47" s="53"/>
      <c r="G47" s="53">
        <f t="shared" si="1"/>
        <v>0.129</v>
      </c>
      <c r="H47" s="53"/>
      <c r="I47" s="53">
        <f>ROUND((fy19_summary_bnft_projection!L28/fy19_summary_bnft_projection!$L$13),3)</f>
        <v>0</v>
      </c>
      <c r="J47" s="53"/>
      <c r="K47" s="53">
        <f>ROUND((fy19_summary_bnft_projection!N28/fy19_summary_bnft_projection!$N$13),3)</f>
        <v>0</v>
      </c>
      <c r="L47" s="53"/>
      <c r="M47" s="53">
        <f t="shared" ref="M47:M57" si="3">M16</f>
        <v>2.5000000000000001E-2</v>
      </c>
      <c r="N47" s="53"/>
      <c r="O47" s="53">
        <f>ROUND((fy19_summary_bnft_projection!R28/fy19_summary_bnft_projection!$R$13),3)</f>
        <v>0</v>
      </c>
      <c r="P47" s="72"/>
      <c r="Q47" s="59"/>
    </row>
    <row r="48" spans="2:17" x14ac:dyDescent="0.25">
      <c r="B48" s="54" t="s">
        <v>124</v>
      </c>
      <c r="C48" s="53">
        <f>ROUND(((fy19_summary_bnft_projection!E26+fy19_summary_bnft_projection!E29)/fy19_summary_bnft_projection!$E$13),3)</f>
        <v>3.0000000000000001E-3</v>
      </c>
      <c r="D48" s="53"/>
      <c r="E48" s="53">
        <f>ROUND(((fy19_summary_bnft_projection!G26+fy19_summary_bnft_projection!G29)/fy19_summary_bnft_projection!$G$13),3)</f>
        <v>3.0000000000000001E-3</v>
      </c>
      <c r="F48" s="53"/>
      <c r="G48" s="53">
        <f t="shared" si="1"/>
        <v>3.0000000000000001E-3</v>
      </c>
      <c r="H48" s="53"/>
      <c r="I48" s="53">
        <f>ROUND(((fy19_summary_bnft_projection!L26+fy19_summary_bnft_projection!L29)/fy19_summary_bnft_projection!$L$13),3)</f>
        <v>3.0000000000000001E-3</v>
      </c>
      <c r="J48" s="53"/>
      <c r="K48" s="53">
        <f>ROUND(((fy19_summary_bnft_projection!N26+fy19_summary_bnft_projection!N29)/fy19_summary_bnft_projection!$N$13),3)</f>
        <v>3.0000000000000001E-3</v>
      </c>
      <c r="L48" s="53"/>
      <c r="M48" s="53">
        <f t="shared" si="3"/>
        <v>0</v>
      </c>
      <c r="N48" s="53"/>
      <c r="O48" s="53">
        <f>ROUND(((fy19_summary_bnft_projection!R26+fy19_summary_bnft_projection!R29)/fy19_summary_bnft_projection!$R$13),3)</f>
        <v>3.0000000000000001E-3</v>
      </c>
      <c r="P48" s="72"/>
      <c r="Q48" s="59"/>
    </row>
    <row r="49" spans="2:22" x14ac:dyDescent="0.25">
      <c r="B49" s="54" t="s">
        <v>125</v>
      </c>
      <c r="C49" s="53">
        <f>ROUND((fy19_summary_bnft_projection!E21/fy19_summary_bnft_projection!$E$13),3)</f>
        <v>3.0000000000000001E-3</v>
      </c>
      <c r="D49" s="53"/>
      <c r="E49" s="53">
        <f>ROUND((fy19_summary_bnft_projection!G21/fy19_summary_bnft_projection!$G$13),3)</f>
        <v>3.0000000000000001E-3</v>
      </c>
      <c r="F49" s="53"/>
      <c r="G49" s="53">
        <f t="shared" si="1"/>
        <v>3.0000000000000001E-3</v>
      </c>
      <c r="H49" s="53"/>
      <c r="I49" s="53">
        <f>ROUND((fy19_summary_bnft_projection!L21/fy19_summary_bnft_projection!$L$13),3)</f>
        <v>0</v>
      </c>
      <c r="J49" s="53"/>
      <c r="K49" s="53">
        <f>ROUND((fy19_summary_bnft_projection!N21/fy19_summary_bnft_projection!$N$13),3)</f>
        <v>0</v>
      </c>
      <c r="L49" s="53"/>
      <c r="M49" s="53">
        <f t="shared" si="3"/>
        <v>0</v>
      </c>
      <c r="N49" s="53"/>
      <c r="O49" s="53">
        <f>ROUND((fy19_summary_bnft_projection!R21/fy19_summary_bnft_projection!$R$13),3)</f>
        <v>0</v>
      </c>
      <c r="P49" s="72"/>
      <c r="Q49" s="57"/>
      <c r="R49" s="57"/>
      <c r="S49" s="57"/>
      <c r="T49" s="57"/>
      <c r="U49" s="57"/>
      <c r="V49" s="57"/>
    </row>
    <row r="50" spans="2:22" x14ac:dyDescent="0.25">
      <c r="B50" s="54" t="s">
        <v>126</v>
      </c>
      <c r="C50" s="53">
        <f>ROUND((fy19_summary_bnft_projection!E22/fy19_summary_bnft_projection!$E$13),3)</f>
        <v>3.0000000000000001E-3</v>
      </c>
      <c r="D50" s="53"/>
      <c r="E50" s="53">
        <f>ROUND((fy19_summary_bnft_projection!G22/fy19_summary_bnft_projection!$G$13),3)</f>
        <v>3.0000000000000001E-3</v>
      </c>
      <c r="F50" s="53"/>
      <c r="G50" s="53">
        <f t="shared" si="1"/>
        <v>3.0000000000000001E-3</v>
      </c>
      <c r="H50" s="53"/>
      <c r="I50" s="53">
        <f>ROUND((fy19_summary_bnft_projection!L22/fy19_summary_bnft_projection!$L$13),3)</f>
        <v>0</v>
      </c>
      <c r="J50" s="53"/>
      <c r="K50" s="53">
        <f>ROUND((fy19_summary_bnft_projection!N22/fy19_summary_bnft_projection!$N$13),3)</f>
        <v>0</v>
      </c>
      <c r="L50" s="53"/>
      <c r="M50" s="53">
        <f t="shared" si="3"/>
        <v>0</v>
      </c>
      <c r="N50" s="53"/>
      <c r="O50" s="53">
        <f>ROUND((fy19_summary_bnft_projection!R22/fy19_summary_bnft_projection!$R$13),3)</f>
        <v>0</v>
      </c>
      <c r="P50" s="72"/>
      <c r="Q50" s="59"/>
    </row>
    <row r="51" spans="2:22" x14ac:dyDescent="0.25">
      <c r="B51" s="54" t="s">
        <v>127</v>
      </c>
      <c r="C51" s="53">
        <f>ROUND((fy19_summary_bnft_projection!E23/fy19_summary_bnft_projection!$E$13),3)</f>
        <v>0</v>
      </c>
      <c r="D51" s="53"/>
      <c r="E51" s="53">
        <f>ROUND((fy19_summary_bnft_projection!G23/fy19_summary_bnft_projection!$G$13),3)</f>
        <v>0</v>
      </c>
      <c r="F51" s="53"/>
      <c r="G51" s="53">
        <f t="shared" si="1"/>
        <v>0</v>
      </c>
      <c r="H51" s="53"/>
      <c r="I51" s="53">
        <f>ROUND((fy19_summary_bnft_projection!L23/fy19_summary_bnft_projection!$L$13),3)</f>
        <v>0</v>
      </c>
      <c r="J51" s="53"/>
      <c r="K51" s="53">
        <f>ROUND((fy19_summary_bnft_projection!N23/fy19_summary_bnft_projection!$N$13),3)</f>
        <v>0</v>
      </c>
      <c r="L51" s="53"/>
      <c r="M51" s="53">
        <f t="shared" si="3"/>
        <v>0</v>
      </c>
      <c r="N51" s="53"/>
      <c r="O51" s="53">
        <f>ROUND((fy19_summary_bnft_projection!R23/fy19_summary_bnft_projection!$R$13),3)</f>
        <v>0</v>
      </c>
      <c r="P51" s="72"/>
      <c r="Q51" s="59"/>
    </row>
    <row r="52" spans="2:22" x14ac:dyDescent="0.25">
      <c r="B52" s="54" t="s">
        <v>128</v>
      </c>
      <c r="C52" s="53">
        <f>ROUND((fy19_summary_bnft_projection!E25/fy19_summary_bnft_projection!$E$13),3)</f>
        <v>7.0000000000000001E-3</v>
      </c>
      <c r="D52" s="53"/>
      <c r="E52" s="53">
        <f>ROUND((fy19_summary_bnft_projection!G25/fy19_summary_bnft_projection!$G$13),3)</f>
        <v>7.0000000000000001E-3</v>
      </c>
      <c r="F52" s="53"/>
      <c r="G52" s="53">
        <f t="shared" si="1"/>
        <v>7.0000000000000001E-3</v>
      </c>
      <c r="H52" s="53"/>
      <c r="I52" s="53">
        <f>ROUND((fy19_summary_bnft_projection!L25/fy19_summary_bnft_projection!$L$13),3)-0.001</f>
        <v>6.0000000000000001E-3</v>
      </c>
      <c r="J52" s="53"/>
      <c r="K52" s="53">
        <f>ROUND((fy19_summary_bnft_projection!N25/fy19_summary_bnft_projection!$N$13),3)-0.001</f>
        <v>6.0000000000000001E-3</v>
      </c>
      <c r="L52" s="53"/>
      <c r="M52" s="53">
        <f t="shared" si="3"/>
        <v>0</v>
      </c>
      <c r="N52" s="53"/>
      <c r="O52" s="53">
        <f>ROUND((fy19_summary_bnft_projection!R25/fy19_summary_bnft_projection!$R$13),3)</f>
        <v>7.0000000000000001E-3</v>
      </c>
      <c r="P52" s="72"/>
      <c r="Q52" s="59"/>
    </row>
    <row r="53" spans="2:22" x14ac:dyDescent="0.25">
      <c r="B53" s="54" t="s">
        <v>129</v>
      </c>
      <c r="C53" s="53">
        <f>ROUND((fy19_summary_bnft_projection!E30/fy19_summary_bnft_projection!$E$13),3)</f>
        <v>1E-3</v>
      </c>
      <c r="D53" s="53"/>
      <c r="E53" s="53">
        <f>ROUND((fy19_summary_bnft_projection!G30/fy19_summary_bnft_projection!$G$13),3)</f>
        <v>1E-3</v>
      </c>
      <c r="F53" s="53"/>
      <c r="G53" s="53">
        <f t="shared" si="1"/>
        <v>1E-3</v>
      </c>
      <c r="H53" s="53"/>
      <c r="I53" s="53">
        <f>ROUND((fy19_summary_bnft_projection!L30/fy19_summary_bnft_projection!$L$13),3)</f>
        <v>0</v>
      </c>
      <c r="J53" s="53"/>
      <c r="K53" s="53">
        <f>ROUND((fy19_summary_bnft_projection!N30/fy19_summary_bnft_projection!$N$13),3)</f>
        <v>0</v>
      </c>
      <c r="L53" s="53"/>
      <c r="M53" s="53">
        <f t="shared" si="3"/>
        <v>0</v>
      </c>
      <c r="N53" s="53"/>
      <c r="O53" s="53">
        <f>ROUND((fy19_summary_bnft_projection!R30/fy19_summary_bnft_projection!$R$13),3)</f>
        <v>0</v>
      </c>
      <c r="P53" s="72"/>
      <c r="Q53" s="59"/>
    </row>
    <row r="54" spans="2:22" x14ac:dyDescent="0.25">
      <c r="B54" s="54" t="s">
        <v>130</v>
      </c>
      <c r="C54" s="53">
        <f>ROUND((fy19_summary_bnft_projection!E31/fy19_summary_bnft_projection!$E$13),3)</f>
        <v>8.0000000000000002E-3</v>
      </c>
      <c r="D54" s="53"/>
      <c r="E54" s="53">
        <f>ROUND((fy19_summary_bnft_projection!G31/fy19_summary_bnft_projection!$G$13),3)</f>
        <v>7.0000000000000001E-3</v>
      </c>
      <c r="F54" s="53"/>
      <c r="G54" s="53">
        <f t="shared" si="1"/>
        <v>7.0000000000000001E-3</v>
      </c>
      <c r="H54" s="53"/>
      <c r="I54" s="53">
        <f>ROUND((fy19_summary_bnft_projection!L31/fy19_summary_bnft_projection!$L$13),3)</f>
        <v>0</v>
      </c>
      <c r="J54" s="53"/>
      <c r="K54" s="53">
        <f>ROUND((fy19_summary_bnft_projection!N31/fy19_summary_bnft_projection!$N$13),3)</f>
        <v>0</v>
      </c>
      <c r="L54" s="53"/>
      <c r="M54" s="53">
        <f t="shared" si="3"/>
        <v>1E-3</v>
      </c>
      <c r="N54" s="53"/>
      <c r="O54" s="53">
        <f>ROUND((fy19_summary_bnft_projection!R31/fy19_summary_bnft_projection!$R$13),3)</f>
        <v>0</v>
      </c>
      <c r="P54" s="72"/>
      <c r="Q54" s="59"/>
    </row>
    <row r="55" spans="2:22" x14ac:dyDescent="0.25">
      <c r="B55" s="54" t="s">
        <v>131</v>
      </c>
      <c r="C55" s="53">
        <f>ROUND((fy19_summary_bnft_projection!E27/fy19_summary_bnft_projection!$E$13),3)</f>
        <v>0</v>
      </c>
      <c r="D55" s="53"/>
      <c r="E55" s="53">
        <f>ROUND((fy19_summary_bnft_projection!G27/fy19_summary_bnft_projection!$G$13),3)</f>
        <v>0</v>
      </c>
      <c r="F55" s="53"/>
      <c r="G55" s="53">
        <f t="shared" si="1"/>
        <v>0</v>
      </c>
      <c r="H55" s="53"/>
      <c r="I55" s="53">
        <f>ROUND((fy19_summary_bnft_projection!L27/fy19_summary_bnft_projection!$L$13),3)</f>
        <v>0</v>
      </c>
      <c r="J55" s="53"/>
      <c r="K55" s="53">
        <f>ROUND((fy19_summary_bnft_projection!N27/fy19_summary_bnft_projection!$N$13),3)</f>
        <v>0</v>
      </c>
      <c r="L55" s="53"/>
      <c r="M55" s="53">
        <f t="shared" si="3"/>
        <v>0</v>
      </c>
      <c r="N55" s="53"/>
      <c r="O55" s="53">
        <f>ROUND((fy19_summary_bnft_projection!R27/fy19_summary_bnft_projection!$R$13),3)-0.001</f>
        <v>9.5000000000000001E-2</v>
      </c>
      <c r="P55" s="72"/>
      <c r="Q55" s="59"/>
    </row>
    <row r="56" spans="2:22" x14ac:dyDescent="0.25">
      <c r="B56" s="54" t="s">
        <v>132</v>
      </c>
      <c r="C56" s="53">
        <f>ROUND((fy19_summary_bnft_projection!E32/fy19_summary_bnft_projection!$E$13),3)</f>
        <v>1.4E-2</v>
      </c>
      <c r="D56" s="53"/>
      <c r="E56" s="53">
        <f>ROUND((fy19_summary_bnft_projection!G32/fy19_summary_bnft_projection!$G$13),3)</f>
        <v>1.0999999999999999E-2</v>
      </c>
      <c r="F56" s="53"/>
      <c r="G56" s="53">
        <f t="shared" si="1"/>
        <v>1.0999999999999999E-2</v>
      </c>
      <c r="H56" s="53"/>
      <c r="I56" s="53">
        <f>ROUND((fy19_summary_bnft_projection!L32/fy19_summary_bnft_projection!$L$13),3)</f>
        <v>0</v>
      </c>
      <c r="J56" s="53"/>
      <c r="K56" s="53">
        <f>ROUND((fy19_summary_bnft_projection!N32/fy19_summary_bnft_projection!$N$13),3)</f>
        <v>0</v>
      </c>
      <c r="L56" s="53"/>
      <c r="M56" s="53">
        <f t="shared" si="3"/>
        <v>2E-3</v>
      </c>
      <c r="N56" s="53"/>
      <c r="O56" s="53">
        <f>ROUND((fy19_summary_bnft_projection!R32/fy19_summary_bnft_projection!$R$13),3)</f>
        <v>0</v>
      </c>
      <c r="P56" s="72"/>
      <c r="Q56" s="59"/>
    </row>
    <row r="57" spans="2:22" x14ac:dyDescent="0.25">
      <c r="B57" s="54" t="s">
        <v>133</v>
      </c>
      <c r="C57" s="53">
        <f>ROUND((fy19_summary_bnft_projection!E33/fy19_summary_bnft_projection!$E$13),3)</f>
        <v>6.0000000000000001E-3</v>
      </c>
      <c r="D57" s="53"/>
      <c r="E57" s="53">
        <f>ROUND((fy19_summary_bnft_projection!G33/fy19_summary_bnft_projection!$G$13),3)</f>
        <v>4.0000000000000001E-3</v>
      </c>
      <c r="F57" s="53"/>
      <c r="G57" s="53">
        <f t="shared" si="1"/>
        <v>4.0000000000000001E-3</v>
      </c>
      <c r="H57" s="53"/>
      <c r="I57" s="53">
        <f>ROUND((fy19_summary_bnft_projection!L33/fy19_summary_bnft_projection!$L$13),3)</f>
        <v>0</v>
      </c>
      <c r="J57" s="53"/>
      <c r="K57" s="53">
        <f>ROUND((fy19_summary_bnft_projection!N33/fy19_summary_bnft_projection!$N$13),3)</f>
        <v>0</v>
      </c>
      <c r="L57" s="53"/>
      <c r="M57" s="53">
        <f t="shared" si="3"/>
        <v>1E-3</v>
      </c>
      <c r="N57" s="53"/>
      <c r="O57" s="53">
        <f>ROUND((fy19_summary_bnft_projection!R33/fy19_summary_bnft_projection!$R$13),3)</f>
        <v>0</v>
      </c>
      <c r="P57" s="72"/>
      <c r="Q57" s="59"/>
    </row>
    <row r="58" spans="2:22" x14ac:dyDescent="0.25">
      <c r="B58" s="60" t="s">
        <v>134</v>
      </c>
      <c r="C58" s="61">
        <f>SUM(C39:C45,C48:C57)</f>
        <v>0.34200000000000008</v>
      </c>
      <c r="D58" s="61">
        <f>SUM(D39:D41,D47:D57)</f>
        <v>0</v>
      </c>
      <c r="E58" s="61">
        <f>SUM(E39:E45,E48:E57)</f>
        <v>0.32200000000000006</v>
      </c>
      <c r="F58" s="61">
        <f>SUM(F39:F41,F47:F57)</f>
        <v>0</v>
      </c>
      <c r="G58" s="61">
        <f>SUM(G39:G45,G48:G57)</f>
        <v>0.32200000000000006</v>
      </c>
      <c r="H58" s="61">
        <f>SUM(H39:H41,H47:H57)</f>
        <v>0</v>
      </c>
      <c r="I58" s="61">
        <f>SUM(I39:I45,I48:I57)</f>
        <v>0.16300000000000001</v>
      </c>
      <c r="J58" s="61">
        <f>SUM(J39:J41,J47:J57)</f>
        <v>0</v>
      </c>
      <c r="K58" s="61">
        <f>SUM(K39:K45,K48:K57)</f>
        <v>9.0000000000000011E-3</v>
      </c>
      <c r="L58" s="61">
        <f>SUM(L39:L41,L47:L57)</f>
        <v>0</v>
      </c>
      <c r="M58" s="61">
        <f>SUM(M39:M45,M48:M57)</f>
        <v>2.9000000000000005E-2</v>
      </c>
      <c r="N58" s="61">
        <f>SUM(N39:N41,N47:N57)</f>
        <v>0</v>
      </c>
      <c r="O58" s="61">
        <f>SUM(O39:O45,O48:O57)</f>
        <v>0.105</v>
      </c>
      <c r="P58" s="72"/>
      <c r="Q58" s="72"/>
    </row>
    <row r="59" spans="2:22" x14ac:dyDescent="0.25">
      <c r="C59" s="58"/>
      <c r="D59" s="58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72"/>
      <c r="Q59" s="72"/>
    </row>
    <row r="60" spans="2:22" s="69" customFormat="1" x14ac:dyDescent="0.25">
      <c r="B60" s="64" t="s">
        <v>135</v>
      </c>
      <c r="C60" s="65">
        <f>Rate_Summary!M21</f>
        <v>0.34200000000000003</v>
      </c>
      <c r="D60" s="65"/>
      <c r="E60" s="65">
        <f>Rate_Summary!M22</f>
        <v>0.32200000000000001</v>
      </c>
      <c r="F60" s="65"/>
      <c r="G60" s="65">
        <f>Rate_Summary!M23</f>
        <v>0.32200000000000001</v>
      </c>
      <c r="H60" s="65"/>
      <c r="I60" s="65">
        <f>Rate_Summary!M24</f>
        <v>0.16300000000000001</v>
      </c>
      <c r="J60" s="66"/>
      <c r="K60" s="66">
        <f>Rate_Summary!M25</f>
        <v>8.9999999999999993E-3</v>
      </c>
      <c r="L60" s="67"/>
      <c r="M60" s="67">
        <f>Rate_Summary!M26</f>
        <v>2.9000000000000001E-2</v>
      </c>
      <c r="N60" s="67"/>
      <c r="O60" s="68">
        <f>Rate_Summary!M27</f>
        <v>0.105</v>
      </c>
      <c r="Q60" s="70"/>
    </row>
    <row r="61" spans="2:22" s="63" customFormat="1" x14ac:dyDescent="0.25">
      <c r="C61" s="77">
        <f>C58-C60</f>
        <v>0</v>
      </c>
      <c r="D61" s="77"/>
      <c r="E61" s="77">
        <f>E58-E60</f>
        <v>0</v>
      </c>
      <c r="F61" s="77"/>
      <c r="G61" s="77">
        <f>G58-G60</f>
        <v>0</v>
      </c>
      <c r="H61" s="77"/>
      <c r="I61" s="77">
        <f>I58-I60</f>
        <v>0</v>
      </c>
      <c r="J61" s="77"/>
      <c r="K61" s="77">
        <f>K58-K60</f>
        <v>0</v>
      </c>
      <c r="L61" s="77"/>
      <c r="M61" s="77">
        <f>M58-M60</f>
        <v>0</v>
      </c>
      <c r="N61" s="77"/>
      <c r="O61" s="77">
        <f>O58-O60</f>
        <v>0</v>
      </c>
    </row>
    <row r="62" spans="2:22" x14ac:dyDescent="0.25">
      <c r="C62" s="58"/>
      <c r="D62" s="58"/>
    </row>
    <row r="63" spans="2:22" x14ac:dyDescent="0.25">
      <c r="C63" s="58"/>
      <c r="D63" s="58"/>
    </row>
    <row r="64" spans="2:22" x14ac:dyDescent="0.25">
      <c r="C64" s="58"/>
      <c r="D64" s="58"/>
    </row>
    <row r="65" spans="3:4" x14ac:dyDescent="0.25">
      <c r="C65" s="58"/>
      <c r="D65" s="58"/>
    </row>
    <row r="66" spans="3:4" x14ac:dyDescent="0.25">
      <c r="C66" s="63"/>
      <c r="D66" s="63"/>
    </row>
    <row r="67" spans="3:4" x14ac:dyDescent="0.25">
      <c r="C67" s="63"/>
      <c r="D67" s="63"/>
    </row>
  </sheetData>
  <mergeCells count="4">
    <mergeCell ref="B1:M1"/>
    <mergeCell ref="B2:M2"/>
    <mergeCell ref="B32:M32"/>
    <mergeCell ref="B33:M33"/>
  </mergeCells>
  <printOptions horizontalCentered="1"/>
  <pageMargins left="0.2" right="0.2" top="1" bottom="1" header="0" footer="0"/>
  <pageSetup scale="82" fitToHeight="2" orientation="landscape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1"/>
  <sheetViews>
    <sheetView topLeftCell="A7" zoomScale="90" zoomScaleNormal="90" workbookViewId="0">
      <selection activeCell="AH29" sqref="AH29"/>
    </sheetView>
  </sheetViews>
  <sheetFormatPr defaultColWidth="12.5703125" defaultRowHeight="15.75" x14ac:dyDescent="0.25"/>
  <cols>
    <col min="1" max="1" width="0.7109375" style="14" customWidth="1"/>
    <col min="2" max="2" width="32.5703125" style="14" customWidth="1"/>
    <col min="3" max="3" width="13.42578125" style="14" customWidth="1"/>
    <col min="4" max="10" width="11.28515625" style="14" hidden="1" customWidth="1"/>
    <col min="11" max="18" width="0" style="14" hidden="1" customWidth="1"/>
    <col min="19" max="19" width="12.5703125" style="14"/>
    <col min="20" max="20" width="1.7109375" style="14" customWidth="1"/>
    <col min="21" max="21" width="12.5703125" style="14"/>
    <col min="22" max="22" width="1.7109375" style="14" customWidth="1"/>
    <col min="23" max="23" width="12.5703125" style="14"/>
    <col min="24" max="24" width="1.7109375" style="14" customWidth="1"/>
    <col min="25" max="25" width="12.5703125" style="14"/>
    <col min="26" max="26" width="1.7109375" style="14" customWidth="1"/>
    <col min="27" max="27" width="12.5703125" style="14"/>
    <col min="28" max="28" width="1.7109375" style="14" customWidth="1"/>
    <col min="29" max="29" width="12.5703125" style="14"/>
    <col min="30" max="30" width="1.7109375" style="14" customWidth="1"/>
    <col min="31" max="16384" width="12.5703125" style="14"/>
  </cols>
  <sheetData>
    <row r="1" spans="2:34" x14ac:dyDescent="0.25"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2:34" x14ac:dyDescent="0.25">
      <c r="B2" s="154" t="s">
        <v>274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AA2" s="14" t="s">
        <v>136</v>
      </c>
    </row>
    <row r="3" spans="2:34" x14ac:dyDescent="0.25">
      <c r="B3" s="155" t="s">
        <v>375</v>
      </c>
      <c r="C3" s="156"/>
      <c r="D3" s="155"/>
      <c r="E3" s="155"/>
      <c r="F3" s="155"/>
      <c r="G3" s="155"/>
      <c r="H3" s="155"/>
      <c r="I3" s="155"/>
      <c r="J3" s="155"/>
      <c r="K3" s="155"/>
      <c r="L3" s="155" t="s">
        <v>137</v>
      </c>
      <c r="M3" s="155"/>
      <c r="N3" s="155"/>
      <c r="O3" s="155"/>
      <c r="P3" s="155"/>
      <c r="Q3" s="155" t="s">
        <v>138</v>
      </c>
      <c r="R3" s="155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</row>
    <row r="4" spans="2:34" x14ac:dyDescent="0.25">
      <c r="B4" s="155"/>
      <c r="C4" s="156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</row>
    <row r="5" spans="2:34" x14ac:dyDescent="0.25">
      <c r="D5" s="18" t="s">
        <v>14</v>
      </c>
      <c r="E5" s="18" t="s">
        <v>16</v>
      </c>
      <c r="F5" s="18" t="s">
        <v>18</v>
      </c>
      <c r="G5" s="18" t="s">
        <v>20</v>
      </c>
      <c r="H5" s="18" t="s">
        <v>22</v>
      </c>
      <c r="I5" s="18" t="s">
        <v>24</v>
      </c>
      <c r="J5" s="18" t="s">
        <v>26</v>
      </c>
      <c r="L5" s="18" t="s">
        <v>14</v>
      </c>
      <c r="M5" s="18" t="s">
        <v>16</v>
      </c>
      <c r="N5" s="18" t="s">
        <v>18</v>
      </c>
      <c r="O5" s="18" t="s">
        <v>20</v>
      </c>
      <c r="P5" s="18" t="s">
        <v>22</v>
      </c>
      <c r="Q5" s="18" t="s">
        <v>24</v>
      </c>
      <c r="R5" s="18" t="s">
        <v>26</v>
      </c>
      <c r="S5" s="157" t="s">
        <v>14</v>
      </c>
      <c r="T5" s="157"/>
      <c r="U5" s="157" t="s">
        <v>16</v>
      </c>
      <c r="V5" s="157"/>
      <c r="W5" s="157" t="s">
        <v>18</v>
      </c>
      <c r="X5" s="157"/>
      <c r="Y5" s="157" t="s">
        <v>20</v>
      </c>
      <c r="Z5" s="157"/>
      <c r="AA5" s="157" t="s">
        <v>22</v>
      </c>
      <c r="AB5" s="157"/>
      <c r="AC5" s="157" t="s">
        <v>24</v>
      </c>
      <c r="AD5" s="157"/>
      <c r="AE5" s="157" t="s">
        <v>26</v>
      </c>
    </row>
    <row r="6" spans="2:34" x14ac:dyDescent="0.25">
      <c r="B6" s="149" t="s">
        <v>76</v>
      </c>
      <c r="C6" s="149" t="s">
        <v>139</v>
      </c>
      <c r="D6" s="150" t="s">
        <v>4</v>
      </c>
      <c r="E6" s="150" t="s">
        <v>5</v>
      </c>
      <c r="F6" s="150" t="s">
        <v>140</v>
      </c>
      <c r="G6" s="150" t="s">
        <v>141</v>
      </c>
      <c r="H6" s="150" t="s">
        <v>99</v>
      </c>
      <c r="I6" s="150" t="s">
        <v>142</v>
      </c>
      <c r="J6" s="150" t="s">
        <v>143</v>
      </c>
      <c r="K6" s="149"/>
      <c r="L6" s="150" t="s">
        <v>4</v>
      </c>
      <c r="M6" s="150" t="s">
        <v>5</v>
      </c>
      <c r="N6" s="150" t="s">
        <v>140</v>
      </c>
      <c r="O6" s="150" t="s">
        <v>141</v>
      </c>
      <c r="P6" s="150" t="s">
        <v>99</v>
      </c>
      <c r="Q6" s="150" t="s">
        <v>142</v>
      </c>
      <c r="R6" s="150" t="s">
        <v>143</v>
      </c>
      <c r="S6" s="158" t="s">
        <v>4</v>
      </c>
      <c r="T6" s="158"/>
      <c r="U6" s="158" t="s">
        <v>273</v>
      </c>
      <c r="V6" s="158"/>
      <c r="W6" s="158" t="s">
        <v>273</v>
      </c>
      <c r="X6" s="158"/>
      <c r="Y6" s="158" t="s">
        <v>141</v>
      </c>
      <c r="Z6" s="158"/>
      <c r="AA6" s="158" t="s">
        <v>99</v>
      </c>
      <c r="AB6" s="158"/>
      <c r="AC6" s="158" t="s">
        <v>142</v>
      </c>
      <c r="AD6" s="158"/>
      <c r="AE6" s="158" t="s">
        <v>143</v>
      </c>
    </row>
    <row r="7" spans="2:34" x14ac:dyDescent="0.25">
      <c r="B7" s="14" t="s">
        <v>36</v>
      </c>
      <c r="C7" s="79" t="s">
        <v>144</v>
      </c>
      <c r="D7" s="80">
        <f>'[1]Components 13-14'!C8/'[1]Components 13-14'!C$27</f>
        <v>0.47297297297297297</v>
      </c>
      <c r="E7" s="80">
        <f>'[1]Components 13-14'!E8/'[1]Components 13-14'!E$27</f>
        <v>0</v>
      </c>
      <c r="F7" s="80">
        <f>'[1]Components 13-14'!G8/'[1]Components 13-14'!G$27</f>
        <v>0</v>
      </c>
      <c r="G7" s="80">
        <f>'[1]Components 13-14'!I8/'[1]Components 13-14'!I$27</f>
        <v>0.86956521739130421</v>
      </c>
      <c r="H7" s="80">
        <f>'[1]Components 13-14'!K8/'[1]Components 13-14'!K$27</f>
        <v>0</v>
      </c>
      <c r="I7" s="80">
        <f>'[1]Components 13-14'!M8/'[1]Components 13-14'!M$27</f>
        <v>0</v>
      </c>
      <c r="J7" s="80">
        <f>'[1]Components 13-14'!O8/'[1]Components 13-14'!O$27</f>
        <v>0</v>
      </c>
      <c r="L7" s="78">
        <f t="shared" ref="L7:R9" si="0">ROUND(D7,3)</f>
        <v>0.47299999999999998</v>
      </c>
      <c r="M7" s="78">
        <f t="shared" si="0"/>
        <v>0</v>
      </c>
      <c r="N7" s="78">
        <f t="shared" si="0"/>
        <v>0</v>
      </c>
      <c r="O7" s="78">
        <f t="shared" si="0"/>
        <v>0.87</v>
      </c>
      <c r="P7" s="78">
        <f t="shared" si="0"/>
        <v>0</v>
      </c>
      <c r="Q7" s="78">
        <f t="shared" si="0"/>
        <v>0</v>
      </c>
      <c r="R7" s="78">
        <f t="shared" si="0"/>
        <v>0</v>
      </c>
      <c r="S7" s="78">
        <f>ROUND((Components!C8/Components!C$27),3)</f>
        <v>0.53800000000000003</v>
      </c>
      <c r="T7" s="78"/>
      <c r="U7" s="78">
        <f>ROUND((Components!E8/Components!E$27),3)</f>
        <v>0</v>
      </c>
      <c r="V7" s="78"/>
      <c r="W7" s="78">
        <f>U7</f>
        <v>0</v>
      </c>
      <c r="X7" s="78"/>
      <c r="Y7" s="78">
        <f>ROUND((Components!I8/Components!I$27),3)-0.001</f>
        <v>0.88600000000000001</v>
      </c>
      <c r="Z7" s="78"/>
      <c r="AA7" s="78">
        <f>ROUND((Components!K8/Components!K$27),3)</f>
        <v>0</v>
      </c>
      <c r="AB7" s="78"/>
      <c r="AC7" s="78">
        <f>ROUND((Components!M8/Components!M$27),3)</f>
        <v>0</v>
      </c>
      <c r="AD7" s="78"/>
      <c r="AE7" s="78">
        <f>ROUND((Components!O8/Components!O$27),3)</f>
        <v>0</v>
      </c>
      <c r="AH7" s="81"/>
    </row>
    <row r="8" spans="2:34" x14ac:dyDescent="0.25">
      <c r="B8" s="14" t="s">
        <v>38</v>
      </c>
      <c r="C8" s="79" t="s">
        <v>145</v>
      </c>
      <c r="D8" s="80">
        <f>'[1]Components 13-14'!C9/'[1]Components 13-14'!C$27</f>
        <v>0</v>
      </c>
      <c r="E8" s="80">
        <f>'[1]Components 13-14'!E9/'[1]Components 13-14'!E$27</f>
        <v>0.39772727272727265</v>
      </c>
      <c r="F8" s="80">
        <f>'[1]Components 13-14'!G9/'[1]Components 13-14'!G$27</f>
        <v>0.30634573304157547</v>
      </c>
      <c r="G8" s="80">
        <f>'[1]Components 13-14'!I9/'[1]Components 13-14'!I$27</f>
        <v>0</v>
      </c>
      <c r="H8" s="80">
        <f>'[1]Components 13-14'!K9/'[1]Components 13-14'!K$27</f>
        <v>0.13566586644548459</v>
      </c>
      <c r="I8" s="80">
        <f>'[1]Components 13-14'!M9/'[1]Components 13-14'!M$27</f>
        <v>0</v>
      </c>
      <c r="J8" s="80">
        <f>'[1]Components 13-14'!O9/'[1]Components 13-14'!O$27</f>
        <v>0</v>
      </c>
      <c r="L8" s="78">
        <f t="shared" si="0"/>
        <v>0</v>
      </c>
      <c r="M8" s="78">
        <f t="shared" si="0"/>
        <v>0.39800000000000002</v>
      </c>
      <c r="N8" s="78">
        <f t="shared" si="0"/>
        <v>0.30599999999999999</v>
      </c>
      <c r="O8" s="78">
        <f t="shared" si="0"/>
        <v>0</v>
      </c>
      <c r="P8" s="78">
        <f t="shared" si="0"/>
        <v>0.13600000000000001</v>
      </c>
      <c r="Q8" s="78">
        <f t="shared" si="0"/>
        <v>0</v>
      </c>
      <c r="R8" s="78">
        <f t="shared" si="0"/>
        <v>0</v>
      </c>
      <c r="S8" s="78">
        <f>ROUND((Components!C9/Components!C$27),3)</f>
        <v>0</v>
      </c>
      <c r="T8" s="78"/>
      <c r="U8" s="78">
        <f>ROUND((Components!E9/Components!E$27),3)</f>
        <v>0.42499999999999999</v>
      </c>
      <c r="V8" s="78"/>
      <c r="W8" s="78">
        <f t="shared" ref="W8:W25" si="1">U8</f>
        <v>0.42499999999999999</v>
      </c>
      <c r="X8" s="78"/>
      <c r="Y8" s="78">
        <f>ROUND((Components!I9/Components!I$27),3)</f>
        <v>0</v>
      </c>
      <c r="Z8" s="78"/>
      <c r="AA8" s="78">
        <f>ROUND((Components!K9/Components!K$27),3)</f>
        <v>0</v>
      </c>
      <c r="AB8" s="78"/>
      <c r="AC8" s="78">
        <f>ROUND((Components!M9/Components!M$27),3)</f>
        <v>0</v>
      </c>
      <c r="AD8" s="78"/>
      <c r="AE8" s="78">
        <f>ROUND((Components!O9/Components!O$27),3)</f>
        <v>0</v>
      </c>
      <c r="AH8" s="81"/>
    </row>
    <row r="9" spans="2:34" x14ac:dyDescent="0.25">
      <c r="B9" s="14" t="s">
        <v>117</v>
      </c>
      <c r="C9" s="79" t="s">
        <v>146</v>
      </c>
      <c r="D9" s="80">
        <f>'[1]Components 13-14'!C10/'[1]Components 13-14'!C$27</f>
        <v>4.3918918918918907E-2</v>
      </c>
      <c r="E9" s="80">
        <f>'[1]Components 13-14'!E10/'[1]Components 13-14'!E$27</f>
        <v>3.693181818181817E-2</v>
      </c>
      <c r="F9" s="80">
        <f>'[1]Components 13-14'!G10/'[1]Components 13-14'!G$27</f>
        <v>2.8446389496717718E-2</v>
      </c>
      <c r="G9" s="80">
        <f>'[1]Components 13-14'!I10/'[1]Components 13-14'!I$27</f>
        <v>8.0745341614906818E-2</v>
      </c>
      <c r="H9" s="80">
        <f>'[1]Components 13-14'!K10/'[1]Components 13-14'!K$27</f>
        <v>0</v>
      </c>
      <c r="I9" s="80">
        <f>'[1]Components 13-14'!M10/'[1]Components 13-14'!M$27</f>
        <v>0</v>
      </c>
      <c r="J9" s="80">
        <f>'[1]Components 13-14'!O10/'[1]Components 13-14'!O$27</f>
        <v>0</v>
      </c>
      <c r="L9" s="78">
        <f t="shared" si="0"/>
        <v>4.3999999999999997E-2</v>
      </c>
      <c r="M9" s="78">
        <f t="shared" si="0"/>
        <v>3.6999999999999998E-2</v>
      </c>
      <c r="N9" s="78">
        <f t="shared" si="0"/>
        <v>2.8000000000000001E-2</v>
      </c>
      <c r="O9" s="78">
        <f t="shared" si="0"/>
        <v>8.1000000000000003E-2</v>
      </c>
      <c r="P9" s="78">
        <f t="shared" si="0"/>
        <v>0</v>
      </c>
      <c r="Q9" s="78">
        <f t="shared" si="0"/>
        <v>0</v>
      </c>
      <c r="R9" s="78">
        <f t="shared" si="0"/>
        <v>0</v>
      </c>
      <c r="S9" s="78">
        <f>ROUND((Components!C10/Components!C$27),3)</f>
        <v>0.05</v>
      </c>
      <c r="T9" s="78"/>
      <c r="U9" s="78">
        <f>ROUND((Components!E10/Components!E$27),3)</f>
        <v>3.9E-2</v>
      </c>
      <c r="V9" s="78"/>
      <c r="W9" s="78">
        <f t="shared" si="1"/>
        <v>3.9E-2</v>
      </c>
      <c r="X9" s="78"/>
      <c r="Y9" s="78">
        <f>ROUND((Components!I10/Components!I$27),3)</f>
        <v>8.2000000000000003E-2</v>
      </c>
      <c r="Z9" s="78"/>
      <c r="AA9" s="78">
        <f>ROUND((Components!K10/Components!K$27),3)</f>
        <v>0</v>
      </c>
      <c r="AB9" s="78"/>
      <c r="AC9" s="78">
        <f>ROUND((Components!M10/Components!M$27),3)</f>
        <v>0</v>
      </c>
      <c r="AD9" s="78"/>
      <c r="AE9" s="78">
        <f>ROUND((Components!O10/Components!O$27),3)</f>
        <v>0</v>
      </c>
      <c r="AH9" s="81"/>
    </row>
    <row r="10" spans="2:34" x14ac:dyDescent="0.25">
      <c r="B10" s="55" t="s">
        <v>118</v>
      </c>
      <c r="C10" s="82" t="s">
        <v>147</v>
      </c>
      <c r="D10" s="83">
        <f>'[1]Components 13-14'!C11/'[1]Components 13-14'!C$27</f>
        <v>0.33783783783783783</v>
      </c>
      <c r="E10" s="83">
        <f>'[1]Components 13-14'!E11/'[1]Components 13-14'!E$27</f>
        <v>0.40340909090909077</v>
      </c>
      <c r="F10" s="83">
        <f>'[1]Components 13-14'!G11/'[1]Components 13-14'!G$27</f>
        <v>0.48796498905908087</v>
      </c>
      <c r="G10" s="83">
        <f>'[1]Components 13-14'!I11/'[1]Components 13-14'!I$27</f>
        <v>1.8633540372670804E-2</v>
      </c>
      <c r="H10" s="83">
        <f>'[1]Components 13-14'!K11/'[1]Components 13-14'!K$27</f>
        <v>0</v>
      </c>
      <c r="I10" s="83">
        <f>'[1]Components 13-14'!M11/'[1]Components 13-14'!M$27</f>
        <v>0.73433789223304813</v>
      </c>
      <c r="J10" s="83">
        <f>'[1]Components 13-14'!O11/'[1]Components 13-14'!O$27</f>
        <v>2.4590163934426229E-2</v>
      </c>
      <c r="K10" s="55"/>
      <c r="L10" s="84">
        <f>ROUND(D10,3)</f>
        <v>0.33800000000000002</v>
      </c>
      <c r="M10" s="84">
        <f>ROUND(E10,3)+0.001</f>
        <v>0.40400000000000003</v>
      </c>
      <c r="N10" s="84">
        <f>ROUND(F10,3)</f>
        <v>0.48799999999999999</v>
      </c>
      <c r="O10" s="84">
        <f>ROUND(G10,3)-0.001</f>
        <v>1.7999999999999999E-2</v>
      </c>
      <c r="P10" s="84">
        <f>ROUND(H10,3)</f>
        <v>0</v>
      </c>
      <c r="Q10" s="84">
        <f>ROUND(I10,3)+0.001</f>
        <v>0.73499999999999999</v>
      </c>
      <c r="R10" s="84">
        <f>ROUND(J10,3)</f>
        <v>2.5000000000000001E-2</v>
      </c>
      <c r="S10" s="84">
        <f>ROUND((Components!C11/Components!C$27),3)</f>
        <v>0.26</v>
      </c>
      <c r="T10" s="84"/>
      <c r="U10" s="84">
        <f>ROUND((Components!E11/Components!E$27),3)+0.001</f>
        <v>0.35899999999999999</v>
      </c>
      <c r="V10" s="84"/>
      <c r="W10" s="84">
        <f t="shared" si="1"/>
        <v>0.35899999999999999</v>
      </c>
      <c r="X10" s="84"/>
      <c r="Y10" s="84">
        <f>ROUND((Components!I11/Components!I$27),3)</f>
        <v>0</v>
      </c>
      <c r="Z10" s="84"/>
      <c r="AA10" s="84">
        <f>ROUND((Components!K11/Components!K$27),3)</f>
        <v>0</v>
      </c>
      <c r="AB10" s="84"/>
      <c r="AC10" s="84">
        <f>ROUND((Components!M11/Components!M$27),3)+0.002</f>
        <v>0.72599999999999998</v>
      </c>
      <c r="AD10" s="84"/>
      <c r="AE10" s="84">
        <f>ROUND((Components!O11/Components!O$27),3)</f>
        <v>0</v>
      </c>
      <c r="AH10" s="81"/>
    </row>
    <row r="11" spans="2:34" x14ac:dyDescent="0.25">
      <c r="B11" s="55" t="s">
        <v>119</v>
      </c>
      <c r="C11" s="82" t="s">
        <v>148</v>
      </c>
      <c r="D11" s="83"/>
      <c r="E11" s="83"/>
      <c r="F11" s="83"/>
      <c r="G11" s="83"/>
      <c r="H11" s="83"/>
      <c r="I11" s="83"/>
      <c r="J11" s="83"/>
      <c r="K11" s="55"/>
      <c r="L11" s="84"/>
      <c r="M11" s="84"/>
      <c r="N11" s="84"/>
      <c r="O11" s="84"/>
      <c r="P11" s="84"/>
      <c r="Q11" s="84"/>
      <c r="R11" s="84"/>
      <c r="S11" s="84">
        <f>ROUND((Components!C12/Components!C$27),3)</f>
        <v>3.7999999999999999E-2</v>
      </c>
      <c r="T11" s="84"/>
      <c r="U11" s="84">
        <f>ROUND((Components!E12/Components!E$27),3)</f>
        <v>5.0999999999999997E-2</v>
      </c>
      <c r="V11" s="84"/>
      <c r="W11" s="84">
        <f t="shared" si="1"/>
        <v>5.0999999999999997E-2</v>
      </c>
      <c r="X11" s="84"/>
      <c r="Y11" s="84">
        <f>ROUND((Components!I12/Components!I$27),3)</f>
        <v>0</v>
      </c>
      <c r="Z11" s="84"/>
      <c r="AA11" s="84">
        <f>ROUND((Components!K12/Components!K$27),3)</f>
        <v>0</v>
      </c>
      <c r="AB11" s="84"/>
      <c r="AC11" s="84">
        <f>ROUND((Components!M12/Components!M$27),3)</f>
        <v>0.10299999999999999</v>
      </c>
      <c r="AD11" s="84"/>
      <c r="AE11" s="84">
        <f>ROUND((Components!O12/Components!O$27),3)</f>
        <v>0</v>
      </c>
      <c r="AH11" s="81"/>
    </row>
    <row r="12" spans="2:34" x14ac:dyDescent="0.25">
      <c r="B12" s="55" t="s">
        <v>120</v>
      </c>
      <c r="C12" s="82" t="s">
        <v>149</v>
      </c>
      <c r="D12" s="83"/>
      <c r="E12" s="83"/>
      <c r="F12" s="83"/>
      <c r="G12" s="83"/>
      <c r="H12" s="83"/>
      <c r="I12" s="83"/>
      <c r="J12" s="83"/>
      <c r="K12" s="55"/>
      <c r="L12" s="84"/>
      <c r="M12" s="84"/>
      <c r="N12" s="84"/>
      <c r="O12" s="84"/>
      <c r="P12" s="84"/>
      <c r="Q12" s="84"/>
      <c r="R12" s="84"/>
      <c r="S12" s="84">
        <f>ROUND((Components!C13/Components!C$27),3)</f>
        <v>4.0000000000000001E-3</v>
      </c>
      <c r="T12" s="84"/>
      <c r="U12" s="84">
        <f>ROUND((Components!E13/Components!E$27),3)</f>
        <v>3.0000000000000001E-3</v>
      </c>
      <c r="V12" s="84"/>
      <c r="W12" s="84">
        <f t="shared" si="1"/>
        <v>3.0000000000000001E-3</v>
      </c>
      <c r="X12" s="84"/>
      <c r="Y12" s="84">
        <f>ROUND((Components!I13/Components!I$27),3)</f>
        <v>0</v>
      </c>
      <c r="Z12" s="84"/>
      <c r="AA12" s="84">
        <f>ROUND((Components!K13/Components!K$27),3)</f>
        <v>0</v>
      </c>
      <c r="AB12" s="84"/>
      <c r="AC12" s="84">
        <f>ROUND((Components!M13/Components!M$27),3)</f>
        <v>0</v>
      </c>
      <c r="AD12" s="84"/>
      <c r="AE12" s="84">
        <f>ROUND((Components!O13/Components!O$27),3)</f>
        <v>0</v>
      </c>
      <c r="AH12" s="81"/>
    </row>
    <row r="13" spans="2:34" x14ac:dyDescent="0.25">
      <c r="B13" s="55" t="s">
        <v>121</v>
      </c>
      <c r="C13" s="82" t="s">
        <v>150</v>
      </c>
      <c r="D13" s="83"/>
      <c r="E13" s="83"/>
      <c r="F13" s="83"/>
      <c r="G13" s="83"/>
      <c r="H13" s="83"/>
      <c r="I13" s="83"/>
      <c r="J13" s="83"/>
      <c r="K13" s="55"/>
      <c r="L13" s="84"/>
      <c r="M13" s="84"/>
      <c r="N13" s="84"/>
      <c r="O13" s="84"/>
      <c r="P13" s="84"/>
      <c r="Q13" s="84"/>
      <c r="R13" s="84"/>
      <c r="S13" s="84">
        <f>ROUND((Components!C14/Components!C$27),3)</f>
        <v>8.0000000000000002E-3</v>
      </c>
      <c r="T13" s="84"/>
      <c r="U13" s="84">
        <f>ROUND((Components!E14/Components!E$27),3)</f>
        <v>8.9999999999999993E-3</v>
      </c>
      <c r="V13" s="84"/>
      <c r="W13" s="84">
        <f t="shared" si="1"/>
        <v>8.9999999999999993E-3</v>
      </c>
      <c r="X13" s="84"/>
      <c r="Y13" s="84">
        <f>ROUND((Components!I14/Components!I$27),3)</f>
        <v>0</v>
      </c>
      <c r="Z13" s="84"/>
      <c r="AA13" s="84">
        <f>ROUND((Components!K14/Components!K$27),3)</f>
        <v>0</v>
      </c>
      <c r="AB13" s="84"/>
      <c r="AC13" s="84">
        <f>ROUND((Components!M14/Components!M$27),3)</f>
        <v>3.4000000000000002E-2</v>
      </c>
      <c r="AD13" s="84"/>
      <c r="AE13" s="84">
        <f>ROUND((Components!O14/Components!O$27),3)</f>
        <v>0</v>
      </c>
      <c r="AH13" s="81"/>
    </row>
    <row r="14" spans="2:34" x14ac:dyDescent="0.25">
      <c r="B14" s="55" t="s">
        <v>122</v>
      </c>
      <c r="C14" s="55"/>
      <c r="D14" s="83"/>
      <c r="E14" s="83"/>
      <c r="F14" s="83"/>
      <c r="G14" s="83"/>
      <c r="H14" s="83"/>
      <c r="I14" s="83"/>
      <c r="J14" s="83"/>
      <c r="K14" s="55"/>
      <c r="L14" s="84"/>
      <c r="M14" s="84"/>
      <c r="N14" s="84"/>
      <c r="O14" s="84"/>
      <c r="P14" s="84"/>
      <c r="Q14" s="84"/>
      <c r="R14" s="84"/>
      <c r="S14" s="84">
        <f>SUM(S10:S13)</f>
        <v>0.31</v>
      </c>
      <c r="T14" s="84"/>
      <c r="U14" s="84">
        <f>SUM(U10:U13)</f>
        <v>0.42199999999999999</v>
      </c>
      <c r="V14" s="84"/>
      <c r="W14" s="84">
        <f t="shared" si="1"/>
        <v>0.42199999999999999</v>
      </c>
      <c r="X14" s="84"/>
      <c r="Y14" s="84">
        <f>SUM(Y10:Y13)</f>
        <v>0</v>
      </c>
      <c r="Z14" s="84"/>
      <c r="AA14" s="84">
        <f>SUM(AA10:AA13)</f>
        <v>0</v>
      </c>
      <c r="AB14" s="84"/>
      <c r="AC14" s="84">
        <f>SUM(AC10:AC13)</f>
        <v>0.86299999999999999</v>
      </c>
      <c r="AD14" s="84"/>
      <c r="AE14" s="84">
        <f>SUM(AE10:AE13)</f>
        <v>0</v>
      </c>
      <c r="AH14" s="81"/>
    </row>
    <row r="15" spans="2:34" hidden="1" x14ac:dyDescent="0.25">
      <c r="B15" s="29" t="s">
        <v>123</v>
      </c>
      <c r="C15" s="85"/>
      <c r="D15" s="86">
        <f t="shared" ref="D15:J15" si="2">SUM(D10:D10)</f>
        <v>0.33783783783783783</v>
      </c>
      <c r="E15" s="86">
        <f t="shared" si="2"/>
        <v>0.40340909090909077</v>
      </c>
      <c r="F15" s="86">
        <f t="shared" si="2"/>
        <v>0.48796498905908087</v>
      </c>
      <c r="G15" s="86">
        <f t="shared" si="2"/>
        <v>1.8633540372670804E-2</v>
      </c>
      <c r="H15" s="86">
        <f t="shared" si="2"/>
        <v>0</v>
      </c>
      <c r="I15" s="86">
        <f t="shared" si="2"/>
        <v>0.73433789223304813</v>
      </c>
      <c r="J15" s="86">
        <f t="shared" si="2"/>
        <v>2.4590163934426229E-2</v>
      </c>
      <c r="K15" s="29"/>
      <c r="L15" s="87">
        <f t="shared" ref="L15:R25" si="3">ROUND(D15,3)</f>
        <v>0.33800000000000002</v>
      </c>
      <c r="M15" s="87">
        <f t="shared" si="3"/>
        <v>0.40300000000000002</v>
      </c>
      <c r="N15" s="87">
        <f t="shared" si="3"/>
        <v>0.48799999999999999</v>
      </c>
      <c r="O15" s="87">
        <f t="shared" si="3"/>
        <v>1.9E-2</v>
      </c>
      <c r="P15" s="87">
        <f t="shared" si="3"/>
        <v>0</v>
      </c>
      <c r="Q15" s="87">
        <f t="shared" si="3"/>
        <v>0.73399999999999999</v>
      </c>
      <c r="R15" s="87">
        <f t="shared" si="3"/>
        <v>2.5000000000000001E-2</v>
      </c>
      <c r="S15" s="78">
        <f>ROUND((Components!C16/Components!C$27),3)</f>
        <v>0.307</v>
      </c>
      <c r="T15" s="78"/>
      <c r="U15" s="78">
        <f>ROUND((Components!E16/Components!E$27),3)</f>
        <v>0.42299999999999999</v>
      </c>
      <c r="V15" s="78"/>
      <c r="W15" s="78">
        <f t="shared" si="1"/>
        <v>0.42299999999999999</v>
      </c>
      <c r="X15" s="78"/>
      <c r="Y15" s="78">
        <f>ROUND((Components!I16/Components!I$27),3)</f>
        <v>0</v>
      </c>
      <c r="Z15" s="78"/>
      <c r="AA15" s="78">
        <f>ROUND((Components!K16/Components!K$27),3)</f>
        <v>0</v>
      </c>
      <c r="AB15" s="78"/>
      <c r="AC15" s="78">
        <f>ROUND((Components!M16/Components!M$27),3)</f>
        <v>0.86199999999999999</v>
      </c>
      <c r="AD15" s="78"/>
      <c r="AE15" s="78">
        <f>ROUND((Components!O16/Components!O$27),3)</f>
        <v>0</v>
      </c>
      <c r="AH15" s="81"/>
    </row>
    <row r="16" spans="2:34" x14ac:dyDescent="0.25">
      <c r="B16" s="29" t="s">
        <v>124</v>
      </c>
      <c r="C16" s="85" t="s">
        <v>151</v>
      </c>
      <c r="D16" s="86"/>
      <c r="E16" s="86"/>
      <c r="F16" s="86"/>
      <c r="G16" s="86"/>
      <c r="H16" s="86"/>
      <c r="I16" s="86"/>
      <c r="J16" s="86"/>
      <c r="K16" s="29"/>
      <c r="L16" s="87"/>
      <c r="M16" s="87"/>
      <c r="N16" s="87"/>
      <c r="O16" s="87"/>
      <c r="P16" s="87"/>
      <c r="Q16" s="87"/>
      <c r="R16" s="87"/>
      <c r="S16" s="78">
        <f>ROUND((Components!C17/Components!C$27),3)</f>
        <v>1.0999999999999999E-2</v>
      </c>
      <c r="T16" s="78"/>
      <c r="U16" s="78">
        <f>ROUND((Components!E17/Components!E$27),3)</f>
        <v>8.9999999999999993E-3</v>
      </c>
      <c r="V16" s="78"/>
      <c r="W16" s="78">
        <f t="shared" si="1"/>
        <v>8.9999999999999993E-3</v>
      </c>
      <c r="X16" s="78"/>
      <c r="Y16" s="78">
        <f>ROUND((Components!I17/Components!I$27),3)</f>
        <v>1.9E-2</v>
      </c>
      <c r="Z16" s="78"/>
      <c r="AA16" s="78">
        <f>ROUND((Components!K17/Components!K$27),3)</f>
        <v>0.6</v>
      </c>
      <c r="AB16" s="78"/>
      <c r="AC16" s="78">
        <f>ROUND((Components!M17/Components!M$27),3)</f>
        <v>0</v>
      </c>
      <c r="AD16" s="78"/>
      <c r="AE16" s="78">
        <f>ROUND((Components!O17/Components!O$27),3)</f>
        <v>0.02</v>
      </c>
      <c r="AH16" s="81"/>
    </row>
    <row r="17" spans="2:34" x14ac:dyDescent="0.25">
      <c r="B17" s="29" t="s">
        <v>125</v>
      </c>
      <c r="C17" s="85" t="s">
        <v>152</v>
      </c>
      <c r="D17" s="86">
        <f>'[1]Components 13-14'!C18/'[1]Components 13-14'!C$27</f>
        <v>1.0135135135135134E-2</v>
      </c>
      <c r="E17" s="86">
        <f>'[1]Components 13-14'!E18/'[1]Components 13-14'!E$27</f>
        <v>8.5227272727272704E-3</v>
      </c>
      <c r="F17" s="86">
        <f>'[1]Components 13-14'!G18/'[1]Components 13-14'!G$27</f>
        <v>6.5645514223194737E-3</v>
      </c>
      <c r="G17" s="86">
        <f>'[1]Components 13-14'!I18/'[1]Components 13-14'!I$27</f>
        <v>0</v>
      </c>
      <c r="H17" s="86">
        <f>'[1]Components 13-14'!K18/'[1]Components 13-14'!K$27</f>
        <v>0</v>
      </c>
      <c r="I17" s="86">
        <f>'[1]Components 13-14'!M18/'[1]Components 13-14'!M$27</f>
        <v>0</v>
      </c>
      <c r="J17" s="86">
        <f>'[1]Components 13-14'!O18/'[1]Components 13-14'!O$27</f>
        <v>0</v>
      </c>
      <c r="K17" s="29"/>
      <c r="L17" s="87">
        <f t="shared" si="3"/>
        <v>0.01</v>
      </c>
      <c r="M17" s="87">
        <f t="shared" si="3"/>
        <v>8.9999999999999993E-3</v>
      </c>
      <c r="N17" s="87">
        <f t="shared" si="3"/>
        <v>7.0000000000000001E-3</v>
      </c>
      <c r="O17" s="87">
        <f t="shared" si="3"/>
        <v>0</v>
      </c>
      <c r="P17" s="87">
        <f t="shared" si="3"/>
        <v>0</v>
      </c>
      <c r="Q17" s="87">
        <f t="shared" si="3"/>
        <v>0</v>
      </c>
      <c r="R17" s="87">
        <f t="shared" si="3"/>
        <v>0</v>
      </c>
      <c r="S17" s="78">
        <f>ROUND((Components!C18/Components!C$27),3)</f>
        <v>1.0999999999999999E-2</v>
      </c>
      <c r="T17" s="78"/>
      <c r="U17" s="78">
        <f>ROUND((Components!E18/Components!E$27),3)</f>
        <v>8.9999999999999993E-3</v>
      </c>
      <c r="V17" s="78"/>
      <c r="W17" s="78">
        <f t="shared" si="1"/>
        <v>8.9999999999999993E-3</v>
      </c>
      <c r="X17" s="78"/>
      <c r="Y17" s="78">
        <f>ROUND((Components!I18/Components!I$27),3)</f>
        <v>0</v>
      </c>
      <c r="Z17" s="78"/>
      <c r="AA17" s="78">
        <f>ROUND((Components!K18/Components!K$27),3)</f>
        <v>0</v>
      </c>
      <c r="AB17" s="78"/>
      <c r="AC17" s="78">
        <f>ROUND((Components!M18/Components!M$27),3)</f>
        <v>0</v>
      </c>
      <c r="AD17" s="78"/>
      <c r="AE17" s="78">
        <f>ROUND((Components!O18/Components!O$27),3)</f>
        <v>0</v>
      </c>
      <c r="AH17" s="81"/>
    </row>
    <row r="18" spans="2:34" x14ac:dyDescent="0.25">
      <c r="B18" s="29" t="s">
        <v>153</v>
      </c>
      <c r="C18" s="79" t="s">
        <v>154</v>
      </c>
      <c r="D18" s="86">
        <f>'[1]Components 13-14'!C19/'[1]Components 13-14'!C$27</f>
        <v>1.0135135135135134E-2</v>
      </c>
      <c r="E18" s="86">
        <f>'[1]Components 13-14'!E19/'[1]Components 13-14'!E$27</f>
        <v>8.5227272727272704E-3</v>
      </c>
      <c r="F18" s="86">
        <f>'[1]Components 13-14'!G19/'[1]Components 13-14'!G$27</f>
        <v>6.5645514223194737E-3</v>
      </c>
      <c r="G18" s="86">
        <f>'[1]Components 13-14'!I19/'[1]Components 13-14'!I$27</f>
        <v>0</v>
      </c>
      <c r="H18" s="86">
        <f>'[1]Components 13-14'!K19/'[1]Components 13-14'!K$27</f>
        <v>0</v>
      </c>
      <c r="I18" s="86">
        <f>'[1]Components 13-14'!M19/'[1]Components 13-14'!M$27</f>
        <v>0</v>
      </c>
      <c r="J18" s="86">
        <f>'[1]Components 13-14'!O19/'[1]Components 13-14'!O$27</f>
        <v>0</v>
      </c>
      <c r="K18" s="29"/>
      <c r="L18" s="87">
        <f t="shared" si="3"/>
        <v>0.01</v>
      </c>
      <c r="M18" s="87">
        <f t="shared" si="3"/>
        <v>8.9999999999999993E-3</v>
      </c>
      <c r="N18" s="87">
        <f t="shared" si="3"/>
        <v>7.0000000000000001E-3</v>
      </c>
      <c r="O18" s="87">
        <f t="shared" si="3"/>
        <v>0</v>
      </c>
      <c r="P18" s="87">
        <f t="shared" si="3"/>
        <v>0</v>
      </c>
      <c r="Q18" s="87">
        <f t="shared" si="3"/>
        <v>0</v>
      </c>
      <c r="R18" s="87">
        <f t="shared" si="3"/>
        <v>0</v>
      </c>
      <c r="S18" s="78">
        <f>ROUND((Components!C19/Components!C$27),3)</f>
        <v>1.0999999999999999E-2</v>
      </c>
      <c r="T18" s="78"/>
      <c r="U18" s="78">
        <f>ROUND((Components!E19/Components!E$27),3)</f>
        <v>8.9999999999999993E-3</v>
      </c>
      <c r="V18" s="78"/>
      <c r="W18" s="78">
        <f t="shared" si="1"/>
        <v>8.9999999999999993E-3</v>
      </c>
      <c r="X18" s="78"/>
      <c r="Y18" s="78">
        <f>ROUND((Components!I19/Components!I$27),3)</f>
        <v>0</v>
      </c>
      <c r="Z18" s="78"/>
      <c r="AA18" s="78">
        <f>ROUND((Components!K19/Components!K$27),3)</f>
        <v>0</v>
      </c>
      <c r="AB18" s="78"/>
      <c r="AC18" s="78">
        <f>ROUND((Components!M19/Components!M$27),3)</f>
        <v>0</v>
      </c>
      <c r="AD18" s="78"/>
      <c r="AE18" s="78">
        <f>ROUND((Components!O19/Components!O$27),3)</f>
        <v>0</v>
      </c>
      <c r="AH18" s="81"/>
    </row>
    <row r="19" spans="2:34" x14ac:dyDescent="0.25">
      <c r="B19" s="29" t="s">
        <v>155</v>
      </c>
      <c r="C19" s="85" t="s">
        <v>156</v>
      </c>
      <c r="D19" s="86">
        <f>'[1]Components 13-14'!C20/'[1]Components 13-14'!C$27</f>
        <v>3.3783783783783781E-3</v>
      </c>
      <c r="E19" s="86">
        <f>'[1]Components 13-14'!E20/'[1]Components 13-14'!E$27</f>
        <v>2.8409090909090901E-3</v>
      </c>
      <c r="F19" s="86">
        <f>'[1]Components 13-14'!G20/'[1]Components 13-14'!G$27</f>
        <v>2.1881838074398244E-3</v>
      </c>
      <c r="G19" s="86">
        <f>'[1]Components 13-14'!I20/'[1]Components 13-14'!I$27</f>
        <v>6.2111801242236012E-3</v>
      </c>
      <c r="H19" s="86">
        <f>'[1]Components 13-14'!K20/'[1]Components 13-14'!K$27</f>
        <v>0</v>
      </c>
      <c r="I19" s="86">
        <f>'[1]Components 13-14'!M20/'[1]Components 13-14'!M$27</f>
        <v>0</v>
      </c>
      <c r="J19" s="86">
        <f>'[1]Components 13-14'!O20/'[1]Components 13-14'!O$27</f>
        <v>0</v>
      </c>
      <c r="K19" s="29"/>
      <c r="L19" s="87">
        <f t="shared" si="3"/>
        <v>3.0000000000000001E-3</v>
      </c>
      <c r="M19" s="87">
        <f t="shared" si="3"/>
        <v>3.0000000000000001E-3</v>
      </c>
      <c r="N19" s="87">
        <f t="shared" si="3"/>
        <v>2E-3</v>
      </c>
      <c r="O19" s="87">
        <f t="shared" si="3"/>
        <v>6.0000000000000001E-3</v>
      </c>
      <c r="P19" s="87">
        <f t="shared" si="3"/>
        <v>0</v>
      </c>
      <c r="Q19" s="87">
        <f t="shared" si="3"/>
        <v>0</v>
      </c>
      <c r="R19" s="87">
        <f t="shared" si="3"/>
        <v>0</v>
      </c>
      <c r="S19" s="78">
        <f>ROUND((Components!C20/Components!C$27),3)</f>
        <v>0</v>
      </c>
      <c r="T19" s="78"/>
      <c r="U19" s="78">
        <f>ROUND((Components!E20/Components!E$27),3)</f>
        <v>0</v>
      </c>
      <c r="V19" s="78"/>
      <c r="W19" s="78">
        <f t="shared" si="1"/>
        <v>0</v>
      </c>
      <c r="X19" s="78"/>
      <c r="Y19" s="78">
        <f>ROUND((Components!I20/Components!I$27),3)</f>
        <v>0</v>
      </c>
      <c r="Z19" s="78"/>
      <c r="AA19" s="78">
        <f>ROUND((Components!K20/Components!K$27),3)</f>
        <v>0</v>
      </c>
      <c r="AB19" s="78"/>
      <c r="AC19" s="78">
        <f>ROUND((Components!M20/Components!M$27),3)</f>
        <v>0</v>
      </c>
      <c r="AD19" s="78"/>
      <c r="AE19" s="78">
        <f>ROUND((Components!O20/Components!O$27),3)</f>
        <v>0</v>
      </c>
      <c r="AH19" s="81"/>
    </row>
    <row r="20" spans="2:34" x14ac:dyDescent="0.25">
      <c r="B20" s="29" t="s">
        <v>128</v>
      </c>
      <c r="C20" s="85" t="s">
        <v>157</v>
      </c>
      <c r="D20" s="86">
        <f>'[1]Components 13-14'!C21/'[1]Components 13-14'!C$27</f>
        <v>1.3513513513513513E-2</v>
      </c>
      <c r="E20" s="86">
        <f>'[1]Components 13-14'!E21/'[1]Components 13-14'!E$27</f>
        <v>1.136363636363636E-2</v>
      </c>
      <c r="F20" s="86">
        <f>'[1]Components 13-14'!G21/'[1]Components 13-14'!G$27</f>
        <v>8.7527352297592977E-3</v>
      </c>
      <c r="G20" s="86">
        <f>'[1]Components 13-14'!I21/'[1]Components 13-14'!I$27</f>
        <v>2.4844720496894405E-2</v>
      </c>
      <c r="H20" s="86">
        <f>'[1]Components 13-14'!K21/'[1]Components 13-14'!K$27</f>
        <v>0.86433413355451538</v>
      </c>
      <c r="I20" s="86">
        <f>'[1]Components 13-14'!M21/'[1]Components 13-14'!M$27</f>
        <v>0</v>
      </c>
      <c r="J20" s="86">
        <f>'[1]Components 13-14'!O21/'[1]Components 13-14'!O$27</f>
        <v>2.4590163934426229E-2</v>
      </c>
      <c r="K20" s="29"/>
      <c r="L20" s="87">
        <f t="shared" si="3"/>
        <v>1.4E-2</v>
      </c>
      <c r="M20" s="87">
        <f t="shared" si="3"/>
        <v>1.0999999999999999E-2</v>
      </c>
      <c r="N20" s="87">
        <f t="shared" si="3"/>
        <v>8.9999999999999993E-3</v>
      </c>
      <c r="O20" s="87">
        <f t="shared" si="3"/>
        <v>2.5000000000000001E-2</v>
      </c>
      <c r="P20" s="87">
        <f t="shared" si="3"/>
        <v>0.86399999999999999</v>
      </c>
      <c r="Q20" s="87">
        <f t="shared" si="3"/>
        <v>0</v>
      </c>
      <c r="R20" s="87">
        <f t="shared" si="3"/>
        <v>2.5000000000000001E-2</v>
      </c>
      <c r="S20" s="78">
        <f>ROUND((Components!C21/Components!C$27),3)</f>
        <v>8.0000000000000002E-3</v>
      </c>
      <c r="T20" s="78"/>
      <c r="U20" s="78">
        <f>ROUND((Components!E21/Components!E$27),3)</f>
        <v>6.0000000000000001E-3</v>
      </c>
      <c r="V20" s="78"/>
      <c r="W20" s="78">
        <f t="shared" si="1"/>
        <v>6.0000000000000001E-3</v>
      </c>
      <c r="X20" s="78"/>
      <c r="Y20" s="78">
        <f>ROUND((Components!I21/Components!I$27),3)</f>
        <v>1.2999999999999999E-2</v>
      </c>
      <c r="Z20" s="78"/>
      <c r="AA20" s="78">
        <f>ROUND((Components!K21/Components!K$27),3)</f>
        <v>0.4</v>
      </c>
      <c r="AB20" s="78"/>
      <c r="AC20" s="78">
        <f>ROUND((Components!M21/Components!M$27),3)</f>
        <v>0</v>
      </c>
      <c r="AD20" s="78"/>
      <c r="AE20" s="78">
        <f>ROUND((Components!O21/Components!O$27),3)</f>
        <v>0.02</v>
      </c>
      <c r="AH20" s="81"/>
    </row>
    <row r="21" spans="2:34" x14ac:dyDescent="0.25">
      <c r="B21" s="29" t="s">
        <v>158</v>
      </c>
      <c r="C21" s="85" t="s">
        <v>159</v>
      </c>
      <c r="D21" s="86">
        <f>'[1]Components 13-14'!C22/'[1]Components 13-14'!C$27</f>
        <v>3.3783783783783781E-3</v>
      </c>
      <c r="E21" s="86">
        <f>'[1]Components 13-14'!E22/'[1]Components 13-14'!E$27</f>
        <v>5.6818181818181802E-3</v>
      </c>
      <c r="F21" s="86">
        <f>'[1]Components 13-14'!G22/'[1]Components 13-14'!G$27</f>
        <v>4.3763676148796489E-3</v>
      </c>
      <c r="G21" s="86">
        <f>'[1]Components 13-14'!I22/'[1]Components 13-14'!I$27</f>
        <v>0</v>
      </c>
      <c r="H21" s="86">
        <f>'[1]Components 13-14'!K22/'[1]Components 13-14'!K$27</f>
        <v>0</v>
      </c>
      <c r="I21" s="86">
        <f>'[1]Components 13-14'!M22/'[1]Components 13-14'!M$27</f>
        <v>3.8649362749107796E-2</v>
      </c>
      <c r="J21" s="86">
        <f>'[1]Components 13-14'!O22/'[1]Components 13-14'!O$27</f>
        <v>0</v>
      </c>
      <c r="K21" s="29"/>
      <c r="L21" s="87">
        <f t="shared" si="3"/>
        <v>3.0000000000000001E-3</v>
      </c>
      <c r="M21" s="87">
        <f t="shared" si="3"/>
        <v>6.0000000000000001E-3</v>
      </c>
      <c r="N21" s="87">
        <f t="shared" si="3"/>
        <v>4.0000000000000001E-3</v>
      </c>
      <c r="O21" s="87">
        <f t="shared" si="3"/>
        <v>0</v>
      </c>
      <c r="P21" s="87">
        <f t="shared" si="3"/>
        <v>0</v>
      </c>
      <c r="Q21" s="87">
        <f t="shared" si="3"/>
        <v>3.9E-2</v>
      </c>
      <c r="R21" s="87">
        <f t="shared" si="3"/>
        <v>0</v>
      </c>
      <c r="S21" s="78">
        <f>ROUND((Components!C22/Components!C$27),3)</f>
        <v>0</v>
      </c>
      <c r="T21" s="78"/>
      <c r="U21" s="78">
        <f>ROUND((Components!E22/Components!E$27),3)</f>
        <v>3.0000000000000001E-3</v>
      </c>
      <c r="V21" s="78"/>
      <c r="W21" s="78">
        <f t="shared" si="1"/>
        <v>3.0000000000000001E-3</v>
      </c>
      <c r="X21" s="78"/>
      <c r="Y21" s="78">
        <f>ROUND((Components!I22/Components!I$27),3)</f>
        <v>0</v>
      </c>
      <c r="Z21" s="78"/>
      <c r="AA21" s="78">
        <f>ROUND((Components!K22/Components!K$27),3)</f>
        <v>0</v>
      </c>
      <c r="AB21" s="78"/>
      <c r="AC21" s="78">
        <f>ROUND((Components!M22/Components!M$27),3)</f>
        <v>0</v>
      </c>
      <c r="AD21" s="78"/>
      <c r="AE21" s="78">
        <f>ROUND((Components!O22/Components!O$27),3)</f>
        <v>0</v>
      </c>
      <c r="AH21" s="81"/>
    </row>
    <row r="22" spans="2:34" x14ac:dyDescent="0.25">
      <c r="B22" s="29" t="s">
        <v>160</v>
      </c>
      <c r="C22" s="85" t="s">
        <v>161</v>
      </c>
      <c r="D22" s="86">
        <f>'[1]Components 13-14'!C23/'[1]Components 13-14'!C$27</f>
        <v>2.3648648648648646E-2</v>
      </c>
      <c r="E22" s="86">
        <f>'[1]Components 13-14'!E23/'[1]Components 13-14'!E$27</f>
        <v>2.8409090909090901E-2</v>
      </c>
      <c r="F22" s="86">
        <f>'[1]Components 13-14'!G23/'[1]Components 13-14'!G$27</f>
        <v>3.5010940919037191E-2</v>
      </c>
      <c r="G22" s="86">
        <f>'[1]Components 13-14'!I23/'[1]Components 13-14'!I$27</f>
        <v>0</v>
      </c>
      <c r="H22" s="86">
        <f>'[1]Components 13-14'!K23/'[1]Components 13-14'!K$27</f>
        <v>0</v>
      </c>
      <c r="I22" s="86">
        <f>'[1]Components 13-14'!M23/'[1]Components 13-14'!M$27</f>
        <v>3.8649362749107796E-2</v>
      </c>
      <c r="J22" s="86">
        <f>'[1]Components 13-14'!O23/'[1]Components 13-14'!O$27</f>
        <v>0</v>
      </c>
      <c r="K22" s="29"/>
      <c r="L22" s="87">
        <f t="shared" si="3"/>
        <v>2.4E-2</v>
      </c>
      <c r="M22" s="87">
        <f t="shared" si="3"/>
        <v>2.8000000000000001E-2</v>
      </c>
      <c r="N22" s="87">
        <f t="shared" si="3"/>
        <v>3.5000000000000003E-2</v>
      </c>
      <c r="O22" s="87">
        <f t="shared" si="3"/>
        <v>0</v>
      </c>
      <c r="P22" s="87">
        <f t="shared" si="3"/>
        <v>0</v>
      </c>
      <c r="Q22" s="87">
        <f t="shared" si="3"/>
        <v>3.9E-2</v>
      </c>
      <c r="R22" s="87">
        <f t="shared" si="3"/>
        <v>0</v>
      </c>
      <c r="S22" s="78">
        <f>ROUND((Components!C23/Components!C$27),3)</f>
        <v>1.9E-2</v>
      </c>
      <c r="T22" s="78"/>
      <c r="U22" s="78">
        <f>ROUND((Components!E23/Components!E$27),3)</f>
        <v>2.1000000000000001E-2</v>
      </c>
      <c r="V22" s="78"/>
      <c r="W22" s="78">
        <f t="shared" si="1"/>
        <v>2.1000000000000001E-2</v>
      </c>
      <c r="X22" s="78"/>
      <c r="Y22" s="78">
        <f>ROUND((Components!I23/Components!I$27),3)</f>
        <v>0</v>
      </c>
      <c r="Z22" s="78"/>
      <c r="AA22" s="78">
        <f>ROUND((Components!K23/Components!K$27),3)</f>
        <v>0</v>
      </c>
      <c r="AB22" s="78"/>
      <c r="AC22" s="78">
        <f>ROUND((Components!M23/Components!M$27),3)</f>
        <v>3.4000000000000002E-2</v>
      </c>
      <c r="AD22" s="78"/>
      <c r="AE22" s="78">
        <f>ROUND((Components!O23/Components!O$27),3)</f>
        <v>0</v>
      </c>
      <c r="AH22" s="81"/>
    </row>
    <row r="23" spans="2:34" x14ac:dyDescent="0.25">
      <c r="B23" s="29" t="s">
        <v>162</v>
      </c>
      <c r="C23" s="85" t="s">
        <v>163</v>
      </c>
      <c r="D23" s="86">
        <f>'[1]Components 13-14'!C24/'[1]Components 13-14'!C$27</f>
        <v>0</v>
      </c>
      <c r="E23" s="86">
        <f>'[1]Components 13-14'!E24/'[1]Components 13-14'!E$27</f>
        <v>0</v>
      </c>
      <c r="F23" s="86">
        <f>'[1]Components 13-14'!G24/'[1]Components 13-14'!G$27</f>
        <v>0</v>
      </c>
      <c r="G23" s="86">
        <f>'[1]Components 13-14'!I24/'[1]Components 13-14'!I$27</f>
        <v>0</v>
      </c>
      <c r="H23" s="86">
        <f>'[1]Components 13-14'!K24/'[1]Components 13-14'!K$27</f>
        <v>0</v>
      </c>
      <c r="I23" s="86">
        <f>'[1]Components 13-14'!M24/'[1]Components 13-14'!M$27</f>
        <v>0</v>
      </c>
      <c r="J23" s="86">
        <f>'[1]Components 13-14'!O24/'[1]Components 13-14'!O$27</f>
        <v>0.95081967213114749</v>
      </c>
      <c r="K23" s="29"/>
      <c r="L23" s="87">
        <f t="shared" si="3"/>
        <v>0</v>
      </c>
      <c r="M23" s="87">
        <f t="shared" si="3"/>
        <v>0</v>
      </c>
      <c r="N23" s="87">
        <f t="shared" si="3"/>
        <v>0</v>
      </c>
      <c r="O23" s="87">
        <f t="shared" si="3"/>
        <v>0</v>
      </c>
      <c r="P23" s="87">
        <f t="shared" si="3"/>
        <v>0</v>
      </c>
      <c r="Q23" s="87">
        <f t="shared" si="3"/>
        <v>0</v>
      </c>
      <c r="R23" s="87">
        <f t="shared" si="3"/>
        <v>0.95099999999999996</v>
      </c>
      <c r="S23" s="78">
        <f>ROUND((Components!C24/Components!C$27),3)</f>
        <v>0</v>
      </c>
      <c r="T23" s="78"/>
      <c r="U23" s="78">
        <f>ROUND((Components!E24/Components!E$27),3)</f>
        <v>0</v>
      </c>
      <c r="V23" s="78"/>
      <c r="W23" s="78">
        <f t="shared" si="1"/>
        <v>0</v>
      </c>
      <c r="X23" s="78"/>
      <c r="Y23" s="78">
        <f>ROUND((Components!I24/Components!I$27),3)</f>
        <v>0</v>
      </c>
      <c r="Z23" s="78"/>
      <c r="AA23" s="78">
        <f>ROUND((Components!K24/Components!K$27),3)</f>
        <v>0</v>
      </c>
      <c r="AB23" s="78"/>
      <c r="AC23" s="78">
        <f>ROUND((Components!M24/Components!M$27),3)</f>
        <v>0</v>
      </c>
      <c r="AD23" s="78"/>
      <c r="AE23" s="78">
        <f>ROUND((Components!O24/Components!O$27),3)</f>
        <v>0.96</v>
      </c>
      <c r="AH23" s="81"/>
    </row>
    <row r="24" spans="2:34" x14ac:dyDescent="0.25">
      <c r="B24" s="29" t="s">
        <v>132</v>
      </c>
      <c r="C24" s="85" t="s">
        <v>164</v>
      </c>
      <c r="D24" s="86"/>
      <c r="E24" s="86"/>
      <c r="F24" s="86"/>
      <c r="G24" s="86"/>
      <c r="H24" s="86"/>
      <c r="I24" s="86"/>
      <c r="J24" s="86"/>
      <c r="K24" s="29"/>
      <c r="L24" s="87"/>
      <c r="M24" s="87"/>
      <c r="N24" s="87"/>
      <c r="O24" s="87"/>
      <c r="P24" s="87"/>
      <c r="Q24" s="87"/>
      <c r="R24" s="87"/>
      <c r="S24" s="78">
        <f>ROUND((Components!C25/Components!C$27),3)</f>
        <v>3.1E-2</v>
      </c>
      <c r="T24" s="78"/>
      <c r="U24" s="78">
        <f>ROUND((Components!E25/Components!E$27),3)</f>
        <v>3.5999999999999997E-2</v>
      </c>
      <c r="V24" s="78"/>
      <c r="W24" s="78">
        <f t="shared" si="1"/>
        <v>3.5999999999999997E-2</v>
      </c>
      <c r="X24" s="78"/>
      <c r="Y24" s="78">
        <f>ROUND((Components!I25/Components!I$27),3)</f>
        <v>0</v>
      </c>
      <c r="Z24" s="78"/>
      <c r="AA24" s="78">
        <f>ROUND((Components!K25/Components!K$27),3)</f>
        <v>0</v>
      </c>
      <c r="AB24" s="78"/>
      <c r="AC24" s="78">
        <f>ROUND((Components!M25/Components!M$27),3)</f>
        <v>6.9000000000000006E-2</v>
      </c>
      <c r="AD24" s="78"/>
      <c r="AE24" s="78">
        <f>ROUND((Components!O25/Components!O$27),3)</f>
        <v>0</v>
      </c>
      <c r="AH24" s="81"/>
    </row>
    <row r="25" spans="2:34" x14ac:dyDescent="0.25">
      <c r="B25" s="29" t="s">
        <v>133</v>
      </c>
      <c r="C25" s="85" t="s">
        <v>165</v>
      </c>
      <c r="D25" s="86">
        <f>'[1]Components 13-14'!C26/'[1]Components 13-14'!C$27</f>
        <v>1.6891891891891889E-2</v>
      </c>
      <c r="E25" s="86">
        <f>'[1]Components 13-14'!E26/'[1]Components 13-14'!E$27</f>
        <v>1.9886363636363633E-2</v>
      </c>
      <c r="F25" s="86">
        <f>'[1]Components 13-14'!G26/'[1]Components 13-14'!G$27</f>
        <v>2.1881838074398245E-2</v>
      </c>
      <c r="G25" s="86">
        <f>'[1]Components 13-14'!I26/'[1]Components 13-14'!I$27</f>
        <v>0</v>
      </c>
      <c r="H25" s="86">
        <f>'[1]Components 13-14'!K26/'[1]Components 13-14'!K$27</f>
        <v>0</v>
      </c>
      <c r="I25" s="86">
        <f>'[1]Components 13-14'!M26/'[1]Components 13-14'!M$27</f>
        <v>3.3765931272305039E-2</v>
      </c>
      <c r="J25" s="86">
        <f>'[1]Components 13-14'!O26/'[1]Components 13-14'!O$27</f>
        <v>0</v>
      </c>
      <c r="K25" s="29"/>
      <c r="L25" s="87">
        <f t="shared" si="3"/>
        <v>1.7000000000000001E-2</v>
      </c>
      <c r="M25" s="87">
        <f t="shared" si="3"/>
        <v>0.02</v>
      </c>
      <c r="N25" s="87">
        <f t="shared" si="3"/>
        <v>2.1999999999999999E-2</v>
      </c>
      <c r="O25" s="87">
        <f t="shared" si="3"/>
        <v>0</v>
      </c>
      <c r="P25" s="87">
        <f t="shared" si="3"/>
        <v>0</v>
      </c>
      <c r="Q25" s="87">
        <f t="shared" si="3"/>
        <v>3.4000000000000002E-2</v>
      </c>
      <c r="R25" s="87">
        <f t="shared" si="3"/>
        <v>0</v>
      </c>
      <c r="S25" s="78">
        <f>ROUND((Components!C26/Components!C$27),3)</f>
        <v>1.0999999999999999E-2</v>
      </c>
      <c r="T25" s="78"/>
      <c r="U25" s="78">
        <f>ROUND((Components!E26/Components!E$27),3)</f>
        <v>2.1000000000000001E-2</v>
      </c>
      <c r="V25" s="78"/>
      <c r="W25" s="78">
        <f t="shared" si="1"/>
        <v>2.1000000000000001E-2</v>
      </c>
      <c r="X25" s="78"/>
      <c r="Y25" s="78">
        <f>ROUND((Components!I26/Components!I$27),3)</f>
        <v>0</v>
      </c>
      <c r="Z25" s="78"/>
      <c r="AA25" s="78">
        <f>ROUND((Components!K26/Components!K$27),3)</f>
        <v>0</v>
      </c>
      <c r="AB25" s="78"/>
      <c r="AC25" s="78">
        <f>ROUND((Components!M26/Components!M$27),3)</f>
        <v>3.4000000000000002E-2</v>
      </c>
      <c r="AD25" s="78"/>
      <c r="AE25" s="78">
        <f>ROUND((Components!O26/Components!O$27),3)</f>
        <v>0</v>
      </c>
      <c r="AH25" s="81"/>
    </row>
    <row r="26" spans="2:34" x14ac:dyDescent="0.25">
      <c r="B26" s="88" t="s">
        <v>166</v>
      </c>
      <c r="C26" s="85"/>
      <c r="D26" s="89">
        <f t="shared" ref="D26:J26" si="4">SUM(D7:D9,D15:D25)</f>
        <v>0.93581081081081074</v>
      </c>
      <c r="E26" s="89">
        <f t="shared" si="4"/>
        <v>0.92329545454545447</v>
      </c>
      <c r="F26" s="89">
        <f t="shared" si="4"/>
        <v>0.9080962800875273</v>
      </c>
      <c r="G26" s="89">
        <f t="shared" si="4"/>
        <v>1</v>
      </c>
      <c r="H26" s="89">
        <f t="shared" si="4"/>
        <v>1</v>
      </c>
      <c r="I26" s="89">
        <f t="shared" si="4"/>
        <v>0.84540254900356882</v>
      </c>
      <c r="J26" s="89">
        <f t="shared" si="4"/>
        <v>1</v>
      </c>
      <c r="K26" s="29"/>
      <c r="L26" s="87">
        <f t="shared" ref="L26:R26" si="5">SUM(L7:L10,L17:L25)</f>
        <v>0.93600000000000005</v>
      </c>
      <c r="M26" s="87">
        <f t="shared" si="5"/>
        <v>0.92500000000000004</v>
      </c>
      <c r="N26" s="87">
        <f t="shared" si="5"/>
        <v>0.90800000000000014</v>
      </c>
      <c r="O26" s="87">
        <f t="shared" si="5"/>
        <v>1</v>
      </c>
      <c r="P26" s="87">
        <f t="shared" si="5"/>
        <v>1</v>
      </c>
      <c r="Q26" s="87">
        <f t="shared" si="5"/>
        <v>0.84700000000000009</v>
      </c>
      <c r="R26" s="87">
        <f t="shared" si="5"/>
        <v>1.0009999999999999</v>
      </c>
      <c r="S26" s="87">
        <f>SUM(S7:S13,S16:S25)</f>
        <v>1.0000000000000002</v>
      </c>
      <c r="T26" s="87"/>
      <c r="U26" s="87">
        <f>SUM(U7:U13,U16:U25)</f>
        <v>1</v>
      </c>
      <c r="V26" s="87"/>
      <c r="W26" s="87">
        <f>SUM(W7:W13,W16:W25)</f>
        <v>1</v>
      </c>
      <c r="X26" s="87"/>
      <c r="Y26" s="87">
        <f>SUM(Y7:Y13,Y16:Y25)</f>
        <v>1</v>
      </c>
      <c r="Z26" s="87"/>
      <c r="AA26" s="87">
        <f>SUM(AA7:AA13,AA16:AA25)</f>
        <v>1</v>
      </c>
      <c r="AB26" s="87"/>
      <c r="AC26" s="87">
        <f>SUM(AC7:AC13,AC16:AC25)</f>
        <v>1</v>
      </c>
      <c r="AD26" s="87"/>
      <c r="AE26" s="87">
        <f>SUM(AE7:AE13,AE16:AE25)</f>
        <v>1</v>
      </c>
      <c r="AF26" s="14" t="s">
        <v>167</v>
      </c>
    </row>
    <row r="27" spans="2:34" x14ac:dyDescent="0.25">
      <c r="B27" s="88"/>
      <c r="C27" s="85"/>
      <c r="D27" s="89"/>
      <c r="E27" s="89"/>
      <c r="F27" s="89"/>
      <c r="G27" s="89"/>
      <c r="H27" s="89"/>
      <c r="I27" s="89"/>
      <c r="J27" s="89"/>
      <c r="K27" s="29"/>
      <c r="L27" s="29"/>
      <c r="M27" s="29"/>
      <c r="N27" s="29"/>
      <c r="O27" s="29"/>
      <c r="P27" s="29"/>
      <c r="Q27" s="29" t="s">
        <v>167</v>
      </c>
      <c r="R27" s="29"/>
      <c r="S27" s="87">
        <v>1</v>
      </c>
      <c r="T27" s="87"/>
      <c r="U27" s="87">
        <v>1</v>
      </c>
      <c r="V27" s="87"/>
      <c r="W27" s="87">
        <v>1</v>
      </c>
      <c r="X27" s="87"/>
      <c r="Y27" s="87">
        <v>1</v>
      </c>
      <c r="Z27" s="87"/>
      <c r="AA27" s="87">
        <v>1</v>
      </c>
      <c r="AB27" s="87"/>
      <c r="AC27" s="87">
        <v>1</v>
      </c>
      <c r="AD27" s="87"/>
      <c r="AE27" s="87">
        <v>1</v>
      </c>
    </row>
    <row r="28" spans="2:34" x14ac:dyDescent="0.25">
      <c r="B28" s="32"/>
      <c r="C28" s="85"/>
      <c r="D28" s="90"/>
      <c r="E28" s="86"/>
      <c r="F28" s="86"/>
      <c r="G28" s="86"/>
      <c r="H28" s="86"/>
      <c r="I28" s="86"/>
      <c r="J28" s="29"/>
      <c r="K28" s="29"/>
      <c r="L28" s="29"/>
      <c r="M28" s="29"/>
      <c r="N28" s="29"/>
      <c r="O28" s="29"/>
      <c r="P28" s="29"/>
      <c r="Q28" s="29"/>
      <c r="R28" s="29"/>
      <c r="S28" s="87">
        <f t="shared" ref="S28:AE28" si="6">S27-S26</f>
        <v>0</v>
      </c>
      <c r="T28" s="87"/>
      <c r="U28" s="87">
        <f t="shared" si="6"/>
        <v>0</v>
      </c>
      <c r="V28" s="87"/>
      <c r="W28" s="87">
        <f t="shared" si="6"/>
        <v>0</v>
      </c>
      <c r="X28" s="87"/>
      <c r="Y28" s="87">
        <f t="shared" si="6"/>
        <v>0</v>
      </c>
      <c r="Z28" s="87"/>
      <c r="AA28" s="87">
        <f t="shared" si="6"/>
        <v>0</v>
      </c>
      <c r="AB28" s="87"/>
      <c r="AC28" s="87">
        <f t="shared" si="6"/>
        <v>0</v>
      </c>
      <c r="AD28" s="87"/>
      <c r="AE28" s="87">
        <f t="shared" si="6"/>
        <v>0</v>
      </c>
    </row>
    <row r="29" spans="2:34" x14ac:dyDescent="0.25">
      <c r="B29" s="32"/>
      <c r="C29" s="85"/>
      <c r="D29" s="90"/>
      <c r="E29" s="86"/>
      <c r="F29" s="86"/>
      <c r="G29" s="86"/>
      <c r="H29" s="86"/>
      <c r="I29" s="86"/>
      <c r="J29" s="29"/>
      <c r="K29" s="29"/>
      <c r="L29" s="29"/>
      <c r="M29" s="29"/>
      <c r="N29" s="29"/>
      <c r="O29" s="29"/>
      <c r="P29" s="29"/>
      <c r="Q29" s="29"/>
      <c r="R29" s="29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</row>
    <row r="30" spans="2:34" x14ac:dyDescent="0.25">
      <c r="B30" s="153" t="s">
        <v>0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2:34" x14ac:dyDescent="0.25">
      <c r="B31" s="154" t="s">
        <v>274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29"/>
      <c r="T31" s="29"/>
      <c r="U31" s="29"/>
      <c r="V31" s="29"/>
      <c r="W31" s="29"/>
      <c r="X31" s="29"/>
      <c r="Y31" s="29"/>
      <c r="Z31" s="29"/>
      <c r="AA31" s="29" t="s">
        <v>136</v>
      </c>
      <c r="AB31" s="29"/>
      <c r="AC31" s="29"/>
      <c r="AD31" s="29"/>
      <c r="AE31" s="29"/>
    </row>
    <row r="32" spans="2:34" x14ac:dyDescent="0.25">
      <c r="B32" s="155" t="s">
        <v>376</v>
      </c>
      <c r="C32" s="156"/>
      <c r="D32" s="155"/>
      <c r="E32" s="155"/>
      <c r="F32" s="155"/>
      <c r="G32" s="155"/>
      <c r="H32" s="155"/>
      <c r="I32" s="155"/>
      <c r="J32" s="155"/>
      <c r="K32" s="155"/>
      <c r="L32" s="155" t="s">
        <v>137</v>
      </c>
      <c r="M32" s="155"/>
      <c r="N32" s="155"/>
      <c r="O32" s="155"/>
      <c r="P32" s="155"/>
      <c r="Q32" s="155" t="s">
        <v>138</v>
      </c>
      <c r="R32" s="155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</row>
    <row r="33" spans="2:31" x14ac:dyDescent="0.25">
      <c r="B33" s="155"/>
      <c r="C33" s="156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2:31" x14ac:dyDescent="0.25">
      <c r="B34" s="29"/>
      <c r="C34" s="85"/>
      <c r="D34" s="32" t="s">
        <v>15</v>
      </c>
      <c r="E34" s="32" t="s">
        <v>17</v>
      </c>
      <c r="F34" s="32" t="s">
        <v>19</v>
      </c>
      <c r="G34" s="32" t="s">
        <v>21</v>
      </c>
      <c r="H34" s="32" t="s">
        <v>23</v>
      </c>
      <c r="I34" s="32" t="s">
        <v>25</v>
      </c>
      <c r="J34" s="32" t="s">
        <v>27</v>
      </c>
      <c r="K34" s="29"/>
      <c r="L34" s="32" t="s">
        <v>15</v>
      </c>
      <c r="M34" s="32" t="s">
        <v>17</v>
      </c>
      <c r="N34" s="32" t="s">
        <v>19</v>
      </c>
      <c r="O34" s="32" t="s">
        <v>21</v>
      </c>
      <c r="P34" s="32" t="s">
        <v>23</v>
      </c>
      <c r="Q34" s="32" t="s">
        <v>25</v>
      </c>
      <c r="R34" s="32" t="s">
        <v>27</v>
      </c>
      <c r="S34" s="159" t="s">
        <v>15</v>
      </c>
      <c r="T34" s="159"/>
      <c r="U34" s="159" t="s">
        <v>17</v>
      </c>
      <c r="V34" s="159"/>
      <c r="W34" s="159" t="s">
        <v>19</v>
      </c>
      <c r="X34" s="159"/>
      <c r="Y34" s="159" t="s">
        <v>21</v>
      </c>
      <c r="Z34" s="159"/>
      <c r="AA34" s="159" t="s">
        <v>23</v>
      </c>
      <c r="AB34" s="159"/>
      <c r="AC34" s="159" t="s">
        <v>25</v>
      </c>
      <c r="AD34" s="159"/>
      <c r="AE34" s="159" t="s">
        <v>27</v>
      </c>
    </row>
    <row r="35" spans="2:31" x14ac:dyDescent="0.25">
      <c r="B35" s="151" t="s">
        <v>76</v>
      </c>
      <c r="C35" s="151" t="s">
        <v>139</v>
      </c>
      <c r="D35" s="152" t="s">
        <v>4</v>
      </c>
      <c r="E35" s="152" t="s">
        <v>5</v>
      </c>
      <c r="F35" s="152" t="s">
        <v>140</v>
      </c>
      <c r="G35" s="152" t="s">
        <v>141</v>
      </c>
      <c r="H35" s="152" t="s">
        <v>99</v>
      </c>
      <c r="I35" s="152" t="s">
        <v>142</v>
      </c>
      <c r="J35" s="152" t="s">
        <v>143</v>
      </c>
      <c r="K35" s="151"/>
      <c r="L35" s="152" t="s">
        <v>4</v>
      </c>
      <c r="M35" s="152" t="s">
        <v>5</v>
      </c>
      <c r="N35" s="152" t="s">
        <v>140</v>
      </c>
      <c r="O35" s="152" t="s">
        <v>141</v>
      </c>
      <c r="P35" s="152" t="s">
        <v>99</v>
      </c>
      <c r="Q35" s="152" t="s">
        <v>142</v>
      </c>
      <c r="R35" s="152" t="s">
        <v>143</v>
      </c>
      <c r="S35" s="160" t="s">
        <v>4</v>
      </c>
      <c r="T35" s="160"/>
      <c r="U35" s="158" t="s">
        <v>273</v>
      </c>
      <c r="V35" s="158"/>
      <c r="W35" s="158" t="s">
        <v>273</v>
      </c>
      <c r="X35" s="160"/>
      <c r="Y35" s="160" t="s">
        <v>141</v>
      </c>
      <c r="Z35" s="160"/>
      <c r="AA35" s="160" t="s">
        <v>99</v>
      </c>
      <c r="AB35" s="160"/>
      <c r="AC35" s="160" t="s">
        <v>142</v>
      </c>
      <c r="AD35" s="160"/>
      <c r="AE35" s="160" t="s">
        <v>143</v>
      </c>
    </row>
    <row r="36" spans="2:31" x14ac:dyDescent="0.25">
      <c r="B36" s="29" t="s">
        <v>36</v>
      </c>
      <c r="C36" s="79" t="s">
        <v>144</v>
      </c>
      <c r="D36" s="86">
        <f>'[1]Components 13-14'!C39/'[1]Components 13-14'!C$58</f>
        <v>0.37735849056603765</v>
      </c>
      <c r="E36" s="86">
        <f>'[1]Components 13-14'!E39/'[1]Components 13-14'!E$58</f>
        <v>0</v>
      </c>
      <c r="F36" s="86">
        <f>'[1]Components 13-14'!G39/'[1]Components 13-14'!G$58</f>
        <v>0</v>
      </c>
      <c r="G36" s="86">
        <f>'[1]Components 13-14'!I39/'[1]Components 13-14'!I$58</f>
        <v>0.84337349397590355</v>
      </c>
      <c r="H36" s="86">
        <f>'[1]Components 13-14'!K39/'[1]Components 13-14'!K$58</f>
        <v>0</v>
      </c>
      <c r="I36" s="86">
        <f>'[1]Components 13-14'!M39/'[1]Components 13-14'!M$58</f>
        <v>0</v>
      </c>
      <c r="J36" s="86">
        <f>'[1]Components 13-14'!O39/'[1]Components 13-14'!O$58</f>
        <v>0</v>
      </c>
      <c r="K36" s="29"/>
      <c r="L36" s="87">
        <f t="shared" ref="L36:R38" si="7">ROUND(D36,3)</f>
        <v>0.377</v>
      </c>
      <c r="M36" s="87">
        <f t="shared" si="7"/>
        <v>0</v>
      </c>
      <c r="N36" s="87">
        <f t="shared" si="7"/>
        <v>0</v>
      </c>
      <c r="O36" s="87">
        <f t="shared" si="7"/>
        <v>0.84299999999999997</v>
      </c>
      <c r="P36" s="87">
        <f t="shared" si="7"/>
        <v>0</v>
      </c>
      <c r="Q36" s="87">
        <f t="shared" si="7"/>
        <v>0</v>
      </c>
      <c r="R36" s="87">
        <f t="shared" si="7"/>
        <v>0</v>
      </c>
      <c r="S36" s="78">
        <f>ROUND((Components!C39/Components!C$58),3)</f>
        <v>0.41199999999999998</v>
      </c>
      <c r="T36" s="78"/>
      <c r="U36" s="78">
        <f>ROUND((Components!E39/Components!E$58),3)</f>
        <v>0</v>
      </c>
      <c r="V36" s="78"/>
      <c r="W36" s="78">
        <f>U36</f>
        <v>0</v>
      </c>
      <c r="X36" s="78"/>
      <c r="Y36" s="78">
        <f>ROUND((Components!I39/Components!I$58),3)</f>
        <v>0.86499999999999999</v>
      </c>
      <c r="Z36" s="78"/>
      <c r="AA36" s="78">
        <f>ROUND((Components!K39/Components!K$58),3)</f>
        <v>0</v>
      </c>
      <c r="AB36" s="78"/>
      <c r="AC36" s="78">
        <f>ROUND((Components!M39/Components!M$58),3)</f>
        <v>0</v>
      </c>
      <c r="AD36" s="78"/>
      <c r="AE36" s="78">
        <f>ROUND((Components!O39/Components!O$58),3)</f>
        <v>0</v>
      </c>
    </row>
    <row r="37" spans="2:31" x14ac:dyDescent="0.25">
      <c r="B37" s="29" t="s">
        <v>38</v>
      </c>
      <c r="C37" s="79" t="s">
        <v>145</v>
      </c>
      <c r="D37" s="86">
        <f>'[1]Components 13-14'!C40/'[1]Components 13-14'!C$58</f>
        <v>0</v>
      </c>
      <c r="E37" s="86">
        <f>'[1]Components 13-14'!E40/'[1]Components 13-14'!E$58</f>
        <v>0.45901639344262291</v>
      </c>
      <c r="F37" s="86">
        <f>'[1]Components 13-14'!G40/'[1]Components 13-14'!G$58</f>
        <v>0.30769230769230765</v>
      </c>
      <c r="G37" s="86">
        <f>'[1]Components 13-14'!I40/'[1]Components 13-14'!I$58</f>
        <v>0</v>
      </c>
      <c r="H37" s="86">
        <f>'[1]Components 13-14'!K40/'[1]Components 13-14'!K$58</f>
        <v>9.0909090909090912E-2</v>
      </c>
      <c r="I37" s="86">
        <f>'[1]Components 13-14'!M40/'[1]Components 13-14'!M$58</f>
        <v>0</v>
      </c>
      <c r="J37" s="86">
        <f>'[1]Components 13-14'!O40/'[1]Components 13-14'!O$58</f>
        <v>0</v>
      </c>
      <c r="K37" s="29"/>
      <c r="L37" s="87">
        <f t="shared" si="7"/>
        <v>0</v>
      </c>
      <c r="M37" s="87">
        <f t="shared" si="7"/>
        <v>0.45900000000000002</v>
      </c>
      <c r="N37" s="87">
        <f t="shared" si="7"/>
        <v>0.308</v>
      </c>
      <c r="O37" s="87">
        <f t="shared" si="7"/>
        <v>0</v>
      </c>
      <c r="P37" s="87">
        <f t="shared" si="7"/>
        <v>9.0999999999999998E-2</v>
      </c>
      <c r="Q37" s="87">
        <f t="shared" si="7"/>
        <v>0</v>
      </c>
      <c r="R37" s="87">
        <f t="shared" si="7"/>
        <v>0</v>
      </c>
      <c r="S37" s="78">
        <f>ROUND((Components!C40/Components!C$58),3)</f>
        <v>0</v>
      </c>
      <c r="T37" s="87"/>
      <c r="U37" s="78">
        <f>ROUND((Components!E40/Components!E$58),3)</f>
        <v>0.438</v>
      </c>
      <c r="V37" s="87"/>
      <c r="W37" s="78">
        <f t="shared" ref="W37:W54" si="8">U37</f>
        <v>0.438</v>
      </c>
      <c r="X37" s="87"/>
      <c r="Y37" s="78">
        <f>ROUND((Components!I40/Components!I$58),3)</f>
        <v>0</v>
      </c>
      <c r="Z37" s="87"/>
      <c r="AA37" s="78">
        <f>ROUND((Components!K40/Components!K$58),3)</f>
        <v>0</v>
      </c>
      <c r="AB37" s="87"/>
      <c r="AC37" s="78">
        <f>ROUND((Components!M40/Components!M$58),3)</f>
        <v>0</v>
      </c>
      <c r="AD37" s="87"/>
      <c r="AE37" s="78">
        <f>ROUND((Components!O40/Components!O$58),3)</f>
        <v>0</v>
      </c>
    </row>
    <row r="38" spans="2:31" x14ac:dyDescent="0.25">
      <c r="B38" s="29" t="s">
        <v>117</v>
      </c>
      <c r="C38" s="79" t="s">
        <v>146</v>
      </c>
      <c r="D38" s="86">
        <f>'[1]Components 13-14'!C41/'[1]Components 13-14'!C$58</f>
        <v>3.5040431266846347E-2</v>
      </c>
      <c r="E38" s="86">
        <f>'[1]Components 13-14'!E41/'[1]Components 13-14'!E$58</f>
        <v>4.2622950819672122E-2</v>
      </c>
      <c r="F38" s="86">
        <f>'[1]Components 13-14'!G41/'[1]Components 13-14'!G$58</f>
        <v>2.8571428571428567E-2</v>
      </c>
      <c r="G38" s="86">
        <f>'[1]Components 13-14'!I41/'[1]Components 13-14'!I$58</f>
        <v>7.8313253012048167E-2</v>
      </c>
      <c r="H38" s="86">
        <f>'[1]Components 13-14'!K41/'[1]Components 13-14'!K$58</f>
        <v>0</v>
      </c>
      <c r="I38" s="86">
        <f>'[1]Components 13-14'!M41/'[1]Components 13-14'!M$58</f>
        <v>0</v>
      </c>
      <c r="J38" s="86">
        <f>'[1]Components 13-14'!O41/'[1]Components 13-14'!O$58</f>
        <v>0</v>
      </c>
      <c r="K38" s="29"/>
      <c r="L38" s="87">
        <f t="shared" si="7"/>
        <v>3.5000000000000003E-2</v>
      </c>
      <c r="M38" s="87">
        <f t="shared" si="7"/>
        <v>4.2999999999999997E-2</v>
      </c>
      <c r="N38" s="87">
        <f t="shared" si="7"/>
        <v>2.9000000000000001E-2</v>
      </c>
      <c r="O38" s="87">
        <f t="shared" si="7"/>
        <v>7.8E-2</v>
      </c>
      <c r="P38" s="87">
        <f t="shared" si="7"/>
        <v>0</v>
      </c>
      <c r="Q38" s="87">
        <f t="shared" si="7"/>
        <v>0</v>
      </c>
      <c r="R38" s="87">
        <f t="shared" si="7"/>
        <v>0</v>
      </c>
      <c r="S38" s="78">
        <f>ROUND((Components!C41/Components!C$58),3)</f>
        <v>3.7999999999999999E-2</v>
      </c>
      <c r="T38" s="87"/>
      <c r="U38" s="78">
        <f>ROUND((Components!E41/Components!E$58),3)</f>
        <v>0.04</v>
      </c>
      <c r="V38" s="87"/>
      <c r="W38" s="78">
        <f t="shared" si="8"/>
        <v>0.04</v>
      </c>
      <c r="X38" s="87"/>
      <c r="Y38" s="78">
        <f>ROUND((Components!I41/Components!I$58),3)</f>
        <v>0.08</v>
      </c>
      <c r="Z38" s="87"/>
      <c r="AA38" s="78">
        <f>ROUND((Components!K41/Components!K$58),3)</f>
        <v>0</v>
      </c>
      <c r="AB38" s="87"/>
      <c r="AC38" s="78">
        <f>ROUND((Components!M41/Components!M$58),3)</f>
        <v>0</v>
      </c>
      <c r="AD38" s="87"/>
      <c r="AE38" s="78">
        <f>ROUND((Components!O41/Components!O$58),3)</f>
        <v>0</v>
      </c>
    </row>
    <row r="39" spans="2:31" x14ac:dyDescent="0.25">
      <c r="B39" s="55" t="s">
        <v>118</v>
      </c>
      <c r="C39" s="82" t="s">
        <v>147</v>
      </c>
      <c r="D39" s="83">
        <f>'[1]Components 13-14'!C42/'[1]Components 13-14'!C$58</f>
        <v>0.41239892183288396</v>
      </c>
      <c r="E39" s="83">
        <f>'[1]Components 13-14'!E42/'[1]Components 13-14'!E$58</f>
        <v>0.34098360655737697</v>
      </c>
      <c r="F39" s="83">
        <f>'[1]Components 13-14'!G42/'[1]Components 13-14'!G$58</f>
        <v>0.48131868131868122</v>
      </c>
      <c r="G39" s="83">
        <f>'[1]Components 13-14'!I42/'[1]Components 13-14'!I$58</f>
        <v>1.2048192771084335E-2</v>
      </c>
      <c r="H39" s="83">
        <f>'[1]Components 13-14'!K42/'[1]Components 13-14'!K$58</f>
        <v>0</v>
      </c>
      <c r="I39" s="83">
        <f>'[1]Components 13-14'!M42/'[1]Components 13-14'!M$58</f>
        <v>0.73433789223304813</v>
      </c>
      <c r="J39" s="83">
        <f>'[1]Components 13-14'!O42/'[1]Components 13-14'!O$58</f>
        <v>1.6393442622950821E-2</v>
      </c>
      <c r="K39" s="55"/>
      <c r="L39" s="84">
        <f>ROUND(D39,3)+0.001</f>
        <v>0.41299999999999998</v>
      </c>
      <c r="M39" s="84">
        <f>ROUND(E39,3)-0.002</f>
        <v>0.33900000000000002</v>
      </c>
      <c r="N39" s="84">
        <f>ROUND(F39,3)+0.002</f>
        <v>0.48299999999999998</v>
      </c>
      <c r="O39" s="84">
        <f>ROUND(G39,3)</f>
        <v>1.2E-2</v>
      </c>
      <c r="P39" s="84">
        <f>ROUND(H39,3)</f>
        <v>0</v>
      </c>
      <c r="Q39" s="84">
        <f>ROUND(I39,3)+0.002</f>
        <v>0.73599999999999999</v>
      </c>
      <c r="R39" s="84">
        <f>ROUND(J39,3)</f>
        <v>1.6E-2</v>
      </c>
      <c r="S39" s="84">
        <f>ROUND((Components!C42/Components!C$58),3)-0.001</f>
        <v>0.35599999999999998</v>
      </c>
      <c r="T39" s="84"/>
      <c r="U39" s="84">
        <f>ROUND((Components!E42/Components!E$58),3)+0.001</f>
        <v>0.34300000000000003</v>
      </c>
      <c r="V39" s="84"/>
      <c r="W39" s="84">
        <f t="shared" si="8"/>
        <v>0.34300000000000003</v>
      </c>
      <c r="X39" s="84"/>
      <c r="Y39" s="84">
        <f>ROUND((Components!I42/Components!I$58),3)</f>
        <v>0</v>
      </c>
      <c r="Z39" s="84"/>
      <c r="AA39" s="84">
        <f>ROUND((Components!K42/Components!K$58),3)</f>
        <v>0</v>
      </c>
      <c r="AB39" s="84"/>
      <c r="AC39" s="84">
        <f>ROUND((Components!M42/Components!M$58),3)+0.002</f>
        <v>0.72599999999999998</v>
      </c>
      <c r="AD39" s="84"/>
      <c r="AE39" s="84">
        <f>ROUND((Components!O42/Components!O$58),3)</f>
        <v>0</v>
      </c>
    </row>
    <row r="40" spans="2:31" x14ac:dyDescent="0.25">
      <c r="B40" s="55" t="s">
        <v>119</v>
      </c>
      <c r="C40" s="82" t="s">
        <v>148</v>
      </c>
      <c r="D40" s="83"/>
      <c r="E40" s="83"/>
      <c r="F40" s="83"/>
      <c r="G40" s="83"/>
      <c r="H40" s="83"/>
      <c r="I40" s="83"/>
      <c r="J40" s="83"/>
      <c r="K40" s="55"/>
      <c r="L40" s="84"/>
      <c r="M40" s="84"/>
      <c r="N40" s="84"/>
      <c r="O40" s="84"/>
      <c r="P40" s="84"/>
      <c r="Q40" s="84"/>
      <c r="R40" s="84"/>
      <c r="S40" s="84">
        <f>ROUND((Components!C43/Components!C$58),3)</f>
        <v>0.05</v>
      </c>
      <c r="T40" s="84"/>
      <c r="U40" s="84">
        <f>ROUND((Components!E43/Components!E$58),3)</f>
        <v>4.7E-2</v>
      </c>
      <c r="V40" s="84"/>
      <c r="W40" s="84">
        <f t="shared" si="8"/>
        <v>4.7E-2</v>
      </c>
      <c r="X40" s="84"/>
      <c r="Y40" s="84">
        <f>ROUND((Components!I43/Components!I$58),3)</f>
        <v>0</v>
      </c>
      <c r="Z40" s="84"/>
      <c r="AA40" s="84">
        <f>ROUND((Components!K43/Components!K$58),3)</f>
        <v>0</v>
      </c>
      <c r="AB40" s="84"/>
      <c r="AC40" s="84">
        <f>ROUND((Components!M43/Components!M$58),3)</f>
        <v>0.10299999999999999</v>
      </c>
      <c r="AD40" s="84"/>
      <c r="AE40" s="84">
        <f>ROUND((Components!O43/Components!O$58),3)</f>
        <v>0</v>
      </c>
    </row>
    <row r="41" spans="2:31" x14ac:dyDescent="0.25">
      <c r="B41" s="55" t="s">
        <v>120</v>
      </c>
      <c r="C41" s="82" t="s">
        <v>149</v>
      </c>
      <c r="D41" s="83"/>
      <c r="E41" s="83"/>
      <c r="F41" s="83"/>
      <c r="G41" s="83"/>
      <c r="H41" s="83"/>
      <c r="I41" s="83"/>
      <c r="J41" s="83"/>
      <c r="K41" s="55"/>
      <c r="L41" s="84"/>
      <c r="M41" s="84"/>
      <c r="N41" s="84"/>
      <c r="O41" s="84"/>
      <c r="P41" s="84"/>
      <c r="Q41" s="84"/>
      <c r="R41" s="84"/>
      <c r="S41" s="84">
        <f>ROUND((Components!C44/Components!C$58),3)</f>
        <v>3.0000000000000001E-3</v>
      </c>
      <c r="T41" s="84"/>
      <c r="U41" s="84">
        <f>ROUND((Components!E44/Components!E$58),3)</f>
        <v>3.0000000000000001E-3</v>
      </c>
      <c r="V41" s="84"/>
      <c r="W41" s="84">
        <f t="shared" si="8"/>
        <v>3.0000000000000001E-3</v>
      </c>
      <c r="X41" s="84"/>
      <c r="Y41" s="84">
        <f>ROUND((Components!I44/Components!I$58),3)</f>
        <v>0</v>
      </c>
      <c r="Z41" s="84"/>
      <c r="AA41" s="84">
        <f>ROUND((Components!K44/Components!K$58),3)</f>
        <v>0</v>
      </c>
      <c r="AB41" s="84"/>
      <c r="AC41" s="84">
        <f>ROUND((Components!M44/Components!M$58),3)</f>
        <v>0</v>
      </c>
      <c r="AD41" s="84"/>
      <c r="AE41" s="84">
        <f>ROUND((Components!O44/Components!O$58),3)</f>
        <v>0</v>
      </c>
    </row>
    <row r="42" spans="2:31" x14ac:dyDescent="0.25">
      <c r="B42" s="55" t="s">
        <v>121</v>
      </c>
      <c r="C42" s="82" t="s">
        <v>150</v>
      </c>
      <c r="D42" s="83"/>
      <c r="E42" s="83"/>
      <c r="F42" s="83"/>
      <c r="G42" s="83"/>
      <c r="H42" s="83"/>
      <c r="I42" s="83"/>
      <c r="J42" s="83"/>
      <c r="K42" s="55"/>
      <c r="L42" s="84"/>
      <c r="M42" s="84"/>
      <c r="N42" s="84"/>
      <c r="O42" s="84"/>
      <c r="P42" s="84"/>
      <c r="Q42" s="84"/>
      <c r="R42" s="84"/>
      <c r="S42" s="84">
        <f>ROUND((Components!C45/Components!C$58),3)</f>
        <v>8.9999999999999993E-3</v>
      </c>
      <c r="T42" s="84"/>
      <c r="U42" s="84">
        <f>ROUND((Components!E45/Components!E$58),3)</f>
        <v>8.9999999999999993E-3</v>
      </c>
      <c r="V42" s="84"/>
      <c r="W42" s="84">
        <f t="shared" si="8"/>
        <v>8.9999999999999993E-3</v>
      </c>
      <c r="X42" s="84"/>
      <c r="Y42" s="84">
        <f>ROUND((Components!I45/Components!I$58),3)</f>
        <v>0</v>
      </c>
      <c r="Z42" s="84"/>
      <c r="AA42" s="84">
        <f>ROUND((Components!K45/Components!K$58),3)</f>
        <v>0</v>
      </c>
      <c r="AB42" s="84"/>
      <c r="AC42" s="84">
        <f>ROUND((Components!M45/Components!M$58),3)</f>
        <v>3.4000000000000002E-2</v>
      </c>
      <c r="AD42" s="84"/>
      <c r="AE42" s="84">
        <f>ROUND((Components!O45/Components!O$58),3)</f>
        <v>0</v>
      </c>
    </row>
    <row r="43" spans="2:31" x14ac:dyDescent="0.25">
      <c r="B43" s="55" t="s">
        <v>122</v>
      </c>
      <c r="C43" s="55"/>
      <c r="D43" s="83"/>
      <c r="E43" s="83"/>
      <c r="F43" s="83"/>
      <c r="G43" s="83"/>
      <c r="H43" s="83"/>
      <c r="I43" s="83"/>
      <c r="J43" s="83"/>
      <c r="K43" s="55"/>
      <c r="L43" s="84"/>
      <c r="M43" s="84"/>
      <c r="N43" s="84"/>
      <c r="O43" s="84"/>
      <c r="P43" s="84"/>
      <c r="Q43" s="84"/>
      <c r="R43" s="84"/>
      <c r="S43" s="84">
        <f>SUM(S39:S42)</f>
        <v>0.41799999999999998</v>
      </c>
      <c r="T43" s="84"/>
      <c r="U43" s="84">
        <f>SUM(U39:U42)</f>
        <v>0.40200000000000002</v>
      </c>
      <c r="V43" s="84"/>
      <c r="W43" s="84">
        <f t="shared" si="8"/>
        <v>0.40200000000000002</v>
      </c>
      <c r="X43" s="84"/>
      <c r="Y43" s="84">
        <f>SUM(Y39:Y42)</f>
        <v>0</v>
      </c>
      <c r="Z43" s="84"/>
      <c r="AA43" s="84">
        <f>SUM(AA39:AA42)</f>
        <v>0</v>
      </c>
      <c r="AB43" s="84"/>
      <c r="AC43" s="84">
        <f>AC14</f>
        <v>0.86299999999999999</v>
      </c>
      <c r="AD43" s="84"/>
      <c r="AE43" s="84">
        <f>SUM(AE39:AE42)</f>
        <v>0</v>
      </c>
    </row>
    <row r="44" spans="2:31" hidden="1" x14ac:dyDescent="0.25">
      <c r="B44" s="29" t="s">
        <v>123</v>
      </c>
      <c r="C44" s="85"/>
      <c r="D44" s="86">
        <f t="shared" ref="D44:J44" si="9">SUM(D39:D39)</f>
        <v>0.41239892183288396</v>
      </c>
      <c r="E44" s="86">
        <f t="shared" si="9"/>
        <v>0.34098360655737697</v>
      </c>
      <c r="F44" s="86">
        <f t="shared" si="9"/>
        <v>0.48131868131868122</v>
      </c>
      <c r="G44" s="86">
        <f t="shared" si="9"/>
        <v>1.2048192771084335E-2</v>
      </c>
      <c r="H44" s="86">
        <f t="shared" si="9"/>
        <v>0</v>
      </c>
      <c r="I44" s="86">
        <f t="shared" si="9"/>
        <v>0.73433789223304813</v>
      </c>
      <c r="J44" s="86">
        <f t="shared" si="9"/>
        <v>1.6393442622950821E-2</v>
      </c>
      <c r="K44" s="29"/>
      <c r="L44" s="87">
        <f t="shared" ref="L44:R54" si="10">ROUND(D44,3)</f>
        <v>0.41199999999999998</v>
      </c>
      <c r="M44" s="87">
        <f t="shared" si="10"/>
        <v>0.34100000000000003</v>
      </c>
      <c r="N44" s="87">
        <f t="shared" si="10"/>
        <v>0.48099999999999998</v>
      </c>
      <c r="O44" s="87">
        <f t="shared" si="10"/>
        <v>1.2E-2</v>
      </c>
      <c r="P44" s="87">
        <f t="shared" si="10"/>
        <v>0</v>
      </c>
      <c r="Q44" s="87">
        <f t="shared" si="10"/>
        <v>0.73399999999999999</v>
      </c>
      <c r="R44" s="87">
        <f t="shared" si="10"/>
        <v>1.6E-2</v>
      </c>
      <c r="S44" s="78">
        <f>ROUND((Components!C47/Components!C$58),3)-0.001</f>
        <v>0.41699999999999998</v>
      </c>
      <c r="T44" s="87"/>
      <c r="U44" s="78">
        <f>ROUND((Components!E47/Components!E$58),3)-0.001</f>
        <v>0.4</v>
      </c>
      <c r="V44" s="87"/>
      <c r="W44" s="78">
        <f t="shared" si="8"/>
        <v>0.4</v>
      </c>
      <c r="X44" s="87"/>
      <c r="Y44" s="78">
        <f>ROUND((Components!I47/Components!I$58),3)</f>
        <v>0</v>
      </c>
      <c r="Z44" s="87"/>
      <c r="AA44" s="78">
        <f>ROUND((Components!K47/Components!K$58),3)</f>
        <v>0</v>
      </c>
      <c r="AB44" s="87"/>
      <c r="AC44" s="78">
        <f>ROUND((Components!M47/Components!M$58),3)</f>
        <v>0.86199999999999999</v>
      </c>
      <c r="AD44" s="87"/>
      <c r="AE44" s="78">
        <f>ROUND((Components!O47/Components!O$58),3)</f>
        <v>0</v>
      </c>
    </row>
    <row r="45" spans="2:31" x14ac:dyDescent="0.25">
      <c r="B45" s="29" t="s">
        <v>124</v>
      </c>
      <c r="C45" s="85" t="s">
        <v>151</v>
      </c>
      <c r="D45" s="86"/>
      <c r="E45" s="86"/>
      <c r="F45" s="86"/>
      <c r="G45" s="86"/>
      <c r="H45" s="86"/>
      <c r="I45" s="86"/>
      <c r="J45" s="86"/>
      <c r="K45" s="29"/>
      <c r="L45" s="87"/>
      <c r="M45" s="87"/>
      <c r="N45" s="87"/>
      <c r="O45" s="87"/>
      <c r="P45" s="87"/>
      <c r="Q45" s="87"/>
      <c r="R45" s="87"/>
      <c r="S45" s="78">
        <f>ROUND((Components!C48/Components!C$58),3)</f>
        <v>8.9999999999999993E-3</v>
      </c>
      <c r="T45" s="87"/>
      <c r="U45" s="78">
        <f>ROUND((Components!E48/Components!E$58),3)</f>
        <v>8.9999999999999993E-3</v>
      </c>
      <c r="V45" s="87"/>
      <c r="W45" s="78">
        <f t="shared" si="8"/>
        <v>8.9999999999999993E-3</v>
      </c>
      <c r="X45" s="87"/>
      <c r="Y45" s="78">
        <f>ROUND((Components!I48/Components!I$58),3)</f>
        <v>1.7999999999999999E-2</v>
      </c>
      <c r="Z45" s="87"/>
      <c r="AA45" s="78">
        <f>ROUND((Components!K48/Components!K$58),3)</f>
        <v>0.33300000000000002</v>
      </c>
      <c r="AB45" s="87"/>
      <c r="AC45" s="78">
        <f>ROUND((Components!M48/Components!M$58),3)</f>
        <v>0</v>
      </c>
      <c r="AD45" s="87"/>
      <c r="AE45" s="78">
        <f>ROUND((Components!O48/Components!O$58),3)</f>
        <v>2.9000000000000001E-2</v>
      </c>
    </row>
    <row r="46" spans="2:31" x14ac:dyDescent="0.25">
      <c r="B46" s="14" t="s">
        <v>125</v>
      </c>
      <c r="C46" s="85" t="s">
        <v>152</v>
      </c>
      <c r="D46" s="80">
        <f>'[1]Components 13-14'!C49/'[1]Components 13-14'!C$58</f>
        <v>8.0862533692722342E-3</v>
      </c>
      <c r="E46" s="80">
        <f>'[1]Components 13-14'!E49/'[1]Components 13-14'!E$58</f>
        <v>9.8360655737704909E-3</v>
      </c>
      <c r="F46" s="80">
        <f>'[1]Components 13-14'!G49/'[1]Components 13-14'!G$58</f>
        <v>6.5934065934065925E-3</v>
      </c>
      <c r="G46" s="80">
        <f>'[1]Components 13-14'!I49/'[1]Components 13-14'!I$58</f>
        <v>0</v>
      </c>
      <c r="H46" s="80">
        <f>'[1]Components 13-14'!K49/'[1]Components 13-14'!K$58</f>
        <v>0</v>
      </c>
      <c r="I46" s="80">
        <f>'[1]Components 13-14'!M49/'[1]Components 13-14'!M$58</f>
        <v>0</v>
      </c>
      <c r="J46" s="80">
        <f>'[1]Components 13-14'!O49/'[1]Components 13-14'!O$58</f>
        <v>0</v>
      </c>
      <c r="L46" s="78">
        <f t="shared" si="10"/>
        <v>8.0000000000000002E-3</v>
      </c>
      <c r="M46" s="78">
        <f t="shared" si="10"/>
        <v>0.01</v>
      </c>
      <c r="N46" s="78">
        <f t="shared" si="10"/>
        <v>7.0000000000000001E-3</v>
      </c>
      <c r="O46" s="78">
        <f t="shared" si="10"/>
        <v>0</v>
      </c>
      <c r="P46" s="78">
        <f t="shared" si="10"/>
        <v>0</v>
      </c>
      <c r="Q46" s="78">
        <f t="shared" si="10"/>
        <v>0</v>
      </c>
      <c r="R46" s="78">
        <f t="shared" si="10"/>
        <v>0</v>
      </c>
      <c r="S46" s="78">
        <f>ROUND((Components!C49/Components!C$58),3)</f>
        <v>8.9999999999999993E-3</v>
      </c>
      <c r="T46" s="78"/>
      <c r="U46" s="78">
        <f>ROUND((Components!E49/Components!E$58),3)</f>
        <v>8.9999999999999993E-3</v>
      </c>
      <c r="V46" s="78"/>
      <c r="W46" s="78">
        <f t="shared" si="8"/>
        <v>8.9999999999999993E-3</v>
      </c>
      <c r="X46" s="78"/>
      <c r="Y46" s="78">
        <f>ROUND((Components!I49/Components!I$58),3)</f>
        <v>0</v>
      </c>
      <c r="Z46" s="78"/>
      <c r="AA46" s="78">
        <f>ROUND((Components!K49/Components!K$58),3)</f>
        <v>0</v>
      </c>
      <c r="AB46" s="78"/>
      <c r="AC46" s="78">
        <f>ROUND((Components!M49/Components!M$58),3)</f>
        <v>0</v>
      </c>
      <c r="AD46" s="78"/>
      <c r="AE46" s="78">
        <f>ROUND((Components!O49/Components!O$58),3)</f>
        <v>0</v>
      </c>
    </row>
    <row r="47" spans="2:31" x14ac:dyDescent="0.25">
      <c r="B47" s="14" t="s">
        <v>153</v>
      </c>
      <c r="C47" s="79" t="s">
        <v>154</v>
      </c>
      <c r="D47" s="80">
        <f>'[1]Components 13-14'!C50/'[1]Components 13-14'!C$58</f>
        <v>8.0862533692722342E-3</v>
      </c>
      <c r="E47" s="80">
        <f>'[1]Components 13-14'!E50/'[1]Components 13-14'!E$58</f>
        <v>9.8360655737704909E-3</v>
      </c>
      <c r="F47" s="80">
        <f>'[1]Components 13-14'!G50/'[1]Components 13-14'!G$58</f>
        <v>6.5934065934065925E-3</v>
      </c>
      <c r="G47" s="80">
        <f>'[1]Components 13-14'!I50/'[1]Components 13-14'!I$58</f>
        <v>0</v>
      </c>
      <c r="H47" s="80">
        <f>'[1]Components 13-14'!K50/'[1]Components 13-14'!K$58</f>
        <v>0</v>
      </c>
      <c r="I47" s="80">
        <f>'[1]Components 13-14'!M50/'[1]Components 13-14'!M$58</f>
        <v>0</v>
      </c>
      <c r="J47" s="80">
        <f>'[1]Components 13-14'!O50/'[1]Components 13-14'!O$58</f>
        <v>0</v>
      </c>
      <c r="L47" s="78">
        <f t="shared" si="10"/>
        <v>8.0000000000000002E-3</v>
      </c>
      <c r="M47" s="78">
        <f t="shared" si="10"/>
        <v>0.01</v>
      </c>
      <c r="N47" s="78">
        <f t="shared" si="10"/>
        <v>7.0000000000000001E-3</v>
      </c>
      <c r="O47" s="78">
        <f t="shared" si="10"/>
        <v>0</v>
      </c>
      <c r="P47" s="78">
        <f t="shared" si="10"/>
        <v>0</v>
      </c>
      <c r="Q47" s="78">
        <f t="shared" si="10"/>
        <v>0</v>
      </c>
      <c r="R47" s="78">
        <f t="shared" si="10"/>
        <v>0</v>
      </c>
      <c r="S47" s="78">
        <f>ROUND((Components!C50/Components!C$58),3)</f>
        <v>8.9999999999999993E-3</v>
      </c>
      <c r="T47" s="78"/>
      <c r="U47" s="78">
        <f>ROUND((Components!E50/Components!E$58),3)</f>
        <v>8.9999999999999993E-3</v>
      </c>
      <c r="V47" s="78"/>
      <c r="W47" s="78">
        <f t="shared" si="8"/>
        <v>8.9999999999999993E-3</v>
      </c>
      <c r="X47" s="78"/>
      <c r="Y47" s="78">
        <f>ROUND((Components!I50/Components!I$58),3)</f>
        <v>0</v>
      </c>
      <c r="Z47" s="78"/>
      <c r="AA47" s="78">
        <f>ROUND((Components!K50/Components!K$58),3)</f>
        <v>0</v>
      </c>
      <c r="AB47" s="78"/>
      <c r="AC47" s="78">
        <f>ROUND((Components!M50/Components!M$58),3)</f>
        <v>0</v>
      </c>
      <c r="AD47" s="78"/>
      <c r="AE47" s="78">
        <f>ROUND((Components!O50/Components!O$58),3)</f>
        <v>0</v>
      </c>
    </row>
    <row r="48" spans="2:31" x14ac:dyDescent="0.25">
      <c r="B48" s="14" t="s">
        <v>155</v>
      </c>
      <c r="C48" s="85" t="s">
        <v>156</v>
      </c>
      <c r="D48" s="80">
        <f>'[1]Components 13-14'!C51/'[1]Components 13-14'!C$58</f>
        <v>2.6954177897574117E-3</v>
      </c>
      <c r="E48" s="80">
        <f>'[1]Components 13-14'!E51/'[1]Components 13-14'!E$58</f>
        <v>3.2786885245901635E-3</v>
      </c>
      <c r="F48" s="80">
        <f>'[1]Components 13-14'!G51/'[1]Components 13-14'!G$58</f>
        <v>2.1978021978021974E-3</v>
      </c>
      <c r="G48" s="80">
        <f>'[1]Components 13-14'!I51/'[1]Components 13-14'!I$58</f>
        <v>6.0240963855421673E-3</v>
      </c>
      <c r="H48" s="80">
        <f>'[1]Components 13-14'!K51/'[1]Components 13-14'!K$58</f>
        <v>0</v>
      </c>
      <c r="I48" s="80">
        <f>'[1]Components 13-14'!M51/'[1]Components 13-14'!M$58</f>
        <v>0</v>
      </c>
      <c r="J48" s="80">
        <f>'[1]Components 13-14'!O51/'[1]Components 13-14'!O$58</f>
        <v>0</v>
      </c>
      <c r="L48" s="78">
        <f t="shared" si="10"/>
        <v>3.0000000000000001E-3</v>
      </c>
      <c r="M48" s="78">
        <f t="shared" si="10"/>
        <v>3.0000000000000001E-3</v>
      </c>
      <c r="N48" s="78">
        <f t="shared" si="10"/>
        <v>2E-3</v>
      </c>
      <c r="O48" s="78">
        <f t="shared" si="10"/>
        <v>6.0000000000000001E-3</v>
      </c>
      <c r="P48" s="78">
        <f t="shared" si="10"/>
        <v>0</v>
      </c>
      <c r="Q48" s="78">
        <f t="shared" si="10"/>
        <v>0</v>
      </c>
      <c r="R48" s="78">
        <f t="shared" si="10"/>
        <v>0</v>
      </c>
      <c r="S48" s="78">
        <f>ROUND((Components!C51/Components!C$58),3)</f>
        <v>0</v>
      </c>
      <c r="T48" s="78"/>
      <c r="U48" s="78">
        <f>ROUND((Components!E51/Components!E$58),3)</f>
        <v>0</v>
      </c>
      <c r="V48" s="78"/>
      <c r="W48" s="78">
        <f t="shared" si="8"/>
        <v>0</v>
      </c>
      <c r="X48" s="78"/>
      <c r="Y48" s="78">
        <f>ROUND((Components!I51/Components!I$58),3)</f>
        <v>0</v>
      </c>
      <c r="Z48" s="78"/>
      <c r="AA48" s="78">
        <f>ROUND((Components!K51/Components!K$58),3)</f>
        <v>0</v>
      </c>
      <c r="AB48" s="78"/>
      <c r="AC48" s="78">
        <f>ROUND((Components!M51/Components!M$58),3)</f>
        <v>0</v>
      </c>
      <c r="AD48" s="78"/>
      <c r="AE48" s="78">
        <f>ROUND((Components!O51/Components!O$58),3)</f>
        <v>0</v>
      </c>
    </row>
    <row r="49" spans="2:32" x14ac:dyDescent="0.25">
      <c r="B49" s="14" t="s">
        <v>128</v>
      </c>
      <c r="C49" s="85" t="s">
        <v>157</v>
      </c>
      <c r="D49" s="80">
        <f>'[1]Components 13-14'!C52/'[1]Components 13-14'!C$58</f>
        <v>2.4258760107816704E-2</v>
      </c>
      <c r="E49" s="80">
        <f>'[1]Components 13-14'!E52/'[1]Components 13-14'!E$58</f>
        <v>2.9508196721311469E-2</v>
      </c>
      <c r="F49" s="80">
        <f>'[1]Components 13-14'!G52/'[1]Components 13-14'!G$58</f>
        <v>1.9780219780219776E-2</v>
      </c>
      <c r="G49" s="80">
        <f>'[1]Components 13-14'!I52/'[1]Components 13-14'!I$58</f>
        <v>6.0240963855421666E-2</v>
      </c>
      <c r="H49" s="80">
        <f>'[1]Components 13-14'!K52/'[1]Components 13-14'!K$58</f>
        <v>0.90909090909090895</v>
      </c>
      <c r="I49" s="80">
        <f>'[1]Components 13-14'!M52/'[1]Components 13-14'!M$58</f>
        <v>0</v>
      </c>
      <c r="J49" s="80">
        <f>'[1]Components 13-14'!O52/'[1]Components 13-14'!O$58</f>
        <v>7.3770491803278687E-2</v>
      </c>
      <c r="L49" s="78">
        <f t="shared" si="10"/>
        <v>2.4E-2</v>
      </c>
      <c r="M49" s="78">
        <f t="shared" si="10"/>
        <v>0.03</v>
      </c>
      <c r="N49" s="78">
        <f t="shared" si="10"/>
        <v>0.02</v>
      </c>
      <c r="O49" s="78">
        <f t="shared" si="10"/>
        <v>0.06</v>
      </c>
      <c r="P49" s="78">
        <f t="shared" si="10"/>
        <v>0.90900000000000003</v>
      </c>
      <c r="Q49" s="78">
        <f t="shared" si="10"/>
        <v>0</v>
      </c>
      <c r="R49" s="78">
        <f t="shared" si="10"/>
        <v>7.3999999999999996E-2</v>
      </c>
      <c r="S49" s="78">
        <f>ROUND((Components!C52/Components!C$58),3)</f>
        <v>0.02</v>
      </c>
      <c r="T49" s="78"/>
      <c r="U49" s="78">
        <f>ROUND((Components!E52/Components!E$58),3)</f>
        <v>2.1999999999999999E-2</v>
      </c>
      <c r="V49" s="78"/>
      <c r="W49" s="78">
        <f t="shared" si="8"/>
        <v>2.1999999999999999E-2</v>
      </c>
      <c r="X49" s="78"/>
      <c r="Y49" s="78">
        <f>ROUND((Components!I52/Components!I$58),3)</f>
        <v>3.6999999999999998E-2</v>
      </c>
      <c r="Z49" s="78"/>
      <c r="AA49" s="78">
        <f>ROUND((Components!K52/Components!K$58),3)</f>
        <v>0.66700000000000004</v>
      </c>
      <c r="AB49" s="78"/>
      <c r="AC49" s="78">
        <f>ROUND((Components!M52/Components!M$58),3)</f>
        <v>0</v>
      </c>
      <c r="AD49" s="78"/>
      <c r="AE49" s="78">
        <f>ROUND((Components!O52/Components!O$58),3)</f>
        <v>6.7000000000000004E-2</v>
      </c>
    </row>
    <row r="50" spans="2:32" x14ac:dyDescent="0.25">
      <c r="B50" s="14" t="s">
        <v>158</v>
      </c>
      <c r="C50" s="85" t="s">
        <v>159</v>
      </c>
      <c r="D50" s="80">
        <f>'[1]Components 13-14'!C53/'[1]Components 13-14'!C$58</f>
        <v>5.3908355795148234E-3</v>
      </c>
      <c r="E50" s="80">
        <f>'[1]Components 13-14'!E53/'[1]Components 13-14'!E$58</f>
        <v>3.2786885245901635E-3</v>
      </c>
      <c r="F50" s="80">
        <f>'[1]Components 13-14'!G53/'[1]Components 13-14'!G$58</f>
        <v>4.3956043956043947E-3</v>
      </c>
      <c r="G50" s="80">
        <f>'[1]Components 13-14'!I53/'[1]Components 13-14'!I$58</f>
        <v>0</v>
      </c>
      <c r="H50" s="80">
        <f>'[1]Components 13-14'!K53/'[1]Components 13-14'!K$58</f>
        <v>0</v>
      </c>
      <c r="I50" s="80">
        <f>'[1]Components 13-14'!M53/'[1]Components 13-14'!M$58</f>
        <v>3.8649362749107796E-2</v>
      </c>
      <c r="J50" s="80">
        <f>'[1]Components 13-14'!O53/'[1]Components 13-14'!O$58</f>
        <v>0</v>
      </c>
      <c r="L50" s="78">
        <f t="shared" si="10"/>
        <v>5.0000000000000001E-3</v>
      </c>
      <c r="M50" s="78">
        <f t="shared" si="10"/>
        <v>3.0000000000000001E-3</v>
      </c>
      <c r="N50" s="78">
        <f t="shared" si="10"/>
        <v>4.0000000000000001E-3</v>
      </c>
      <c r="O50" s="78">
        <f t="shared" si="10"/>
        <v>0</v>
      </c>
      <c r="P50" s="78">
        <f t="shared" si="10"/>
        <v>0</v>
      </c>
      <c r="Q50" s="78">
        <f t="shared" si="10"/>
        <v>3.9E-2</v>
      </c>
      <c r="R50" s="78">
        <f t="shared" si="10"/>
        <v>0</v>
      </c>
      <c r="S50" s="78">
        <f>ROUND((Components!C53/Components!C$58),3)</f>
        <v>3.0000000000000001E-3</v>
      </c>
      <c r="T50" s="78"/>
      <c r="U50" s="78">
        <f>ROUND((Components!E53/Components!E$58),3)</f>
        <v>3.0000000000000001E-3</v>
      </c>
      <c r="V50" s="78"/>
      <c r="W50" s="78">
        <f t="shared" si="8"/>
        <v>3.0000000000000001E-3</v>
      </c>
      <c r="X50" s="78"/>
      <c r="Y50" s="78">
        <f>ROUND((Components!I53/Components!I$58),3)</f>
        <v>0</v>
      </c>
      <c r="Z50" s="78"/>
      <c r="AA50" s="78">
        <f>ROUND((Components!K53/Components!K$58),3)</f>
        <v>0</v>
      </c>
      <c r="AB50" s="78"/>
      <c r="AC50" s="78">
        <f>ROUND((Components!M53/Components!M$58),3)</f>
        <v>0</v>
      </c>
      <c r="AD50" s="78"/>
      <c r="AE50" s="78">
        <f>ROUND((Components!O53/Components!O$58),3)</f>
        <v>0</v>
      </c>
    </row>
    <row r="51" spans="2:32" x14ac:dyDescent="0.25">
      <c r="B51" s="14" t="s">
        <v>160</v>
      </c>
      <c r="C51" s="85" t="s">
        <v>161</v>
      </c>
      <c r="D51" s="80">
        <f>'[1]Components 13-14'!C54/'[1]Components 13-14'!C$58</f>
        <v>2.9649595687331526E-2</v>
      </c>
      <c r="E51" s="80">
        <f>'[1]Components 13-14'!E54/'[1]Components 13-14'!E$58</f>
        <v>2.2950819672131143E-2</v>
      </c>
      <c r="F51" s="80">
        <f>'[1]Components 13-14'!G54/'[1]Components 13-14'!G$58</f>
        <v>3.5164835164835158E-2</v>
      </c>
      <c r="G51" s="80">
        <f>'[1]Components 13-14'!I54/'[1]Components 13-14'!I$58</f>
        <v>0</v>
      </c>
      <c r="H51" s="80">
        <f>'[1]Components 13-14'!K54/'[1]Components 13-14'!K$58</f>
        <v>0</v>
      </c>
      <c r="I51" s="80">
        <f>'[1]Components 13-14'!M54/'[1]Components 13-14'!M$58</f>
        <v>3.8649362749107796E-2</v>
      </c>
      <c r="J51" s="80">
        <f>'[1]Components 13-14'!O54/'[1]Components 13-14'!O$58</f>
        <v>0</v>
      </c>
      <c r="L51" s="78">
        <f t="shared" si="10"/>
        <v>0.03</v>
      </c>
      <c r="M51" s="78">
        <f t="shared" si="10"/>
        <v>2.3E-2</v>
      </c>
      <c r="N51" s="78">
        <f t="shared" si="10"/>
        <v>3.5000000000000003E-2</v>
      </c>
      <c r="O51" s="78">
        <f t="shared" si="10"/>
        <v>0</v>
      </c>
      <c r="P51" s="78">
        <f t="shared" si="10"/>
        <v>0</v>
      </c>
      <c r="Q51" s="78">
        <f t="shared" si="10"/>
        <v>3.9E-2</v>
      </c>
      <c r="R51" s="78">
        <f t="shared" si="10"/>
        <v>0</v>
      </c>
      <c r="S51" s="78">
        <f>ROUND((Components!C54/Components!C$58),3)</f>
        <v>2.3E-2</v>
      </c>
      <c r="T51" s="78"/>
      <c r="U51" s="78">
        <f>ROUND((Components!E54/Components!E$58),3)</f>
        <v>2.1999999999999999E-2</v>
      </c>
      <c r="V51" s="78"/>
      <c r="W51" s="78">
        <f t="shared" si="8"/>
        <v>2.1999999999999999E-2</v>
      </c>
      <c r="X51" s="78"/>
      <c r="Y51" s="78">
        <f>ROUND((Components!I54/Components!I$58),3)</f>
        <v>0</v>
      </c>
      <c r="Z51" s="78"/>
      <c r="AA51" s="78">
        <f>ROUND((Components!K54/Components!K$58),3)</f>
        <v>0</v>
      </c>
      <c r="AB51" s="78"/>
      <c r="AC51" s="78">
        <f>ROUND((Components!M54/Components!M$58),3)</f>
        <v>3.4000000000000002E-2</v>
      </c>
      <c r="AD51" s="78"/>
      <c r="AE51" s="78">
        <f>ROUND((Components!O54/Components!O$58),3)</f>
        <v>0</v>
      </c>
    </row>
    <row r="52" spans="2:32" x14ac:dyDescent="0.25">
      <c r="B52" s="14" t="s">
        <v>162</v>
      </c>
      <c r="C52" s="91" t="s">
        <v>163</v>
      </c>
      <c r="D52" s="80">
        <f>'[1]Components 13-14'!C55/'[1]Components 13-14'!C$58</f>
        <v>0</v>
      </c>
      <c r="E52" s="80">
        <f>'[1]Components 13-14'!E55/'[1]Components 13-14'!E$58</f>
        <v>0</v>
      </c>
      <c r="F52" s="80">
        <f>'[1]Components 13-14'!G55/'[1]Components 13-14'!G$58</f>
        <v>0</v>
      </c>
      <c r="G52" s="80">
        <f>'[1]Components 13-14'!I55/'[1]Components 13-14'!I$58</f>
        <v>0</v>
      </c>
      <c r="H52" s="80">
        <f>'[1]Components 13-14'!K55/'[1]Components 13-14'!K$58</f>
        <v>0</v>
      </c>
      <c r="I52" s="80">
        <f>'[1]Components 13-14'!M55/'[1]Components 13-14'!M$58</f>
        <v>0</v>
      </c>
      <c r="J52" s="80">
        <f>'[1]Components 13-14'!O55/'[1]Components 13-14'!O$58</f>
        <v>0.9098360655737705</v>
      </c>
      <c r="L52" s="78">
        <f t="shared" si="10"/>
        <v>0</v>
      </c>
      <c r="M52" s="78">
        <f t="shared" si="10"/>
        <v>0</v>
      </c>
      <c r="N52" s="78">
        <f t="shared" si="10"/>
        <v>0</v>
      </c>
      <c r="O52" s="78">
        <f t="shared" si="10"/>
        <v>0</v>
      </c>
      <c r="P52" s="78">
        <f t="shared" si="10"/>
        <v>0</v>
      </c>
      <c r="Q52" s="78">
        <f t="shared" si="10"/>
        <v>0</v>
      </c>
      <c r="R52" s="78">
        <f t="shared" si="10"/>
        <v>0.91</v>
      </c>
      <c r="S52" s="78">
        <f>ROUND((Components!C55/Components!C$58),3)</f>
        <v>0</v>
      </c>
      <c r="T52" s="78"/>
      <c r="U52" s="78">
        <f>ROUND((Components!E55/Components!E$58),3)</f>
        <v>0</v>
      </c>
      <c r="V52" s="78"/>
      <c r="W52" s="78">
        <f t="shared" si="8"/>
        <v>0</v>
      </c>
      <c r="X52" s="78"/>
      <c r="Y52" s="78">
        <f>ROUND((Components!I55/Components!I$58),3)</f>
        <v>0</v>
      </c>
      <c r="Z52" s="78"/>
      <c r="AA52" s="78">
        <f>ROUND((Components!K55/Components!K$58),3)</f>
        <v>0</v>
      </c>
      <c r="AB52" s="78"/>
      <c r="AC52" s="78">
        <f>ROUND((Components!M55/Components!M$58),3)</f>
        <v>0</v>
      </c>
      <c r="AD52" s="78"/>
      <c r="AE52" s="78">
        <f>ROUND((Components!O55/Components!O$58),3)-0.001</f>
        <v>0.90400000000000003</v>
      </c>
    </row>
    <row r="53" spans="2:32" x14ac:dyDescent="0.25">
      <c r="B53" s="29" t="s">
        <v>132</v>
      </c>
      <c r="C53" s="85" t="s">
        <v>164</v>
      </c>
      <c r="D53" s="80"/>
      <c r="E53" s="80"/>
      <c r="F53" s="80"/>
      <c r="G53" s="80"/>
      <c r="H53" s="80"/>
      <c r="I53" s="80"/>
      <c r="J53" s="80"/>
      <c r="L53" s="78"/>
      <c r="M53" s="78"/>
      <c r="N53" s="78"/>
      <c r="O53" s="78"/>
      <c r="P53" s="78"/>
      <c r="Q53" s="78"/>
      <c r="R53" s="78"/>
      <c r="S53" s="78">
        <f>ROUND((Components!C56/Components!C$58),3)</f>
        <v>4.1000000000000002E-2</v>
      </c>
      <c r="T53" s="78"/>
      <c r="U53" s="78">
        <f>ROUND((Components!E56/Components!E$58),3)</f>
        <v>3.4000000000000002E-2</v>
      </c>
      <c r="V53" s="78"/>
      <c r="W53" s="78">
        <f t="shared" si="8"/>
        <v>3.4000000000000002E-2</v>
      </c>
      <c r="X53" s="78"/>
      <c r="Y53" s="78">
        <f>ROUND((Components!I56/Components!I$58),3)</f>
        <v>0</v>
      </c>
      <c r="Z53" s="78"/>
      <c r="AA53" s="78">
        <f>ROUND((Components!K56/Components!K$58),3)</f>
        <v>0</v>
      </c>
      <c r="AB53" s="78"/>
      <c r="AC53" s="78">
        <f>ROUND((Components!M56/Components!M$58),3)</f>
        <v>6.9000000000000006E-2</v>
      </c>
      <c r="AD53" s="78"/>
      <c r="AE53" s="78">
        <f>ROUND((Components!O56/Components!O$58),3)</f>
        <v>0</v>
      </c>
    </row>
    <row r="54" spans="2:32" x14ac:dyDescent="0.25">
      <c r="B54" s="29" t="s">
        <v>133</v>
      </c>
      <c r="C54" s="85" t="s">
        <v>165</v>
      </c>
      <c r="D54" s="80">
        <f>'[1]Components 13-14'!C57/'[1]Components 13-14'!C$58</f>
        <v>1.8867924528301883E-2</v>
      </c>
      <c r="E54" s="80">
        <f>'[1]Components 13-14'!E57/'[1]Components 13-14'!E$58</f>
        <v>1.3114754098360654E-2</v>
      </c>
      <c r="F54" s="80">
        <f>'[1]Components 13-14'!G57/'[1]Components 13-14'!G$58</f>
        <v>1.9780219780219776E-2</v>
      </c>
      <c r="G54" s="80">
        <f>'[1]Components 13-14'!I57/'[1]Components 13-14'!I$58</f>
        <v>0</v>
      </c>
      <c r="H54" s="80">
        <f>'[1]Components 13-14'!K57/'[1]Components 13-14'!K$58</f>
        <v>0</v>
      </c>
      <c r="I54" s="80">
        <f>'[1]Components 13-14'!M57/'[1]Components 13-14'!M$58</f>
        <v>3.3765931272305039E-2</v>
      </c>
      <c r="J54" s="80">
        <f>'[1]Components 13-14'!O57/'[1]Components 13-14'!O$58</f>
        <v>0</v>
      </c>
      <c r="L54" s="78">
        <f t="shared" si="10"/>
        <v>1.9E-2</v>
      </c>
      <c r="M54" s="78">
        <f t="shared" si="10"/>
        <v>1.2999999999999999E-2</v>
      </c>
      <c r="N54" s="78">
        <f t="shared" si="10"/>
        <v>0.02</v>
      </c>
      <c r="O54" s="78">
        <f t="shared" si="10"/>
        <v>0</v>
      </c>
      <c r="P54" s="78">
        <f t="shared" si="10"/>
        <v>0</v>
      </c>
      <c r="Q54" s="78">
        <f t="shared" si="10"/>
        <v>3.4000000000000002E-2</v>
      </c>
      <c r="R54" s="78">
        <f t="shared" si="10"/>
        <v>0</v>
      </c>
      <c r="S54" s="78">
        <f>ROUND((Components!C57/Components!C$58),3)</f>
        <v>1.7999999999999999E-2</v>
      </c>
      <c r="T54" s="78"/>
      <c r="U54" s="78">
        <f>ROUND((Components!E57/Components!E$58),3)</f>
        <v>1.2E-2</v>
      </c>
      <c r="V54" s="78"/>
      <c r="W54" s="78">
        <f t="shared" si="8"/>
        <v>1.2E-2</v>
      </c>
      <c r="X54" s="78"/>
      <c r="Y54" s="78">
        <f>ROUND((Components!I57/Components!I$58),3)</f>
        <v>0</v>
      </c>
      <c r="Z54" s="78"/>
      <c r="AA54" s="78">
        <f>ROUND((Components!K57/Components!K$58),3)</f>
        <v>0</v>
      </c>
      <c r="AB54" s="78"/>
      <c r="AC54" s="78">
        <f>ROUND((Components!M57/Components!M$58),3)</f>
        <v>3.4000000000000002E-2</v>
      </c>
      <c r="AD54" s="78"/>
      <c r="AE54" s="78">
        <f>ROUND((Components!O57/Components!O$58),3)</f>
        <v>0</v>
      </c>
    </row>
    <row r="55" spans="2:32" x14ac:dyDescent="0.25">
      <c r="B55" s="25" t="s">
        <v>166</v>
      </c>
      <c r="C55" s="79"/>
      <c r="D55" s="92">
        <f t="shared" ref="D55:J55" si="11">SUM(D36:D38,D44:D54)</f>
        <v>0.92183288409703479</v>
      </c>
      <c r="E55" s="92">
        <f t="shared" si="11"/>
        <v>0.93442622950819654</v>
      </c>
      <c r="F55" s="92">
        <f t="shared" si="11"/>
        <v>0.91208791208791196</v>
      </c>
      <c r="G55" s="92">
        <f t="shared" si="11"/>
        <v>0.99999999999999989</v>
      </c>
      <c r="H55" s="92">
        <f t="shared" si="11"/>
        <v>0.99999999999999989</v>
      </c>
      <c r="I55" s="92">
        <f t="shared" si="11"/>
        <v>0.84540254900356882</v>
      </c>
      <c r="J55" s="92">
        <f t="shared" si="11"/>
        <v>1</v>
      </c>
      <c r="L55" s="78">
        <f t="shared" ref="L55:R55" si="12">SUM(L36:L39,L46:L54)</f>
        <v>0.92200000000000004</v>
      </c>
      <c r="M55" s="78">
        <f t="shared" si="12"/>
        <v>0.93300000000000005</v>
      </c>
      <c r="N55" s="78">
        <f t="shared" si="12"/>
        <v>0.91500000000000015</v>
      </c>
      <c r="O55" s="78">
        <f t="shared" si="12"/>
        <v>0.99899999999999989</v>
      </c>
      <c r="P55" s="78">
        <f t="shared" si="12"/>
        <v>1</v>
      </c>
      <c r="Q55" s="78">
        <f t="shared" si="12"/>
        <v>0.84800000000000009</v>
      </c>
      <c r="R55" s="78">
        <f t="shared" si="12"/>
        <v>1</v>
      </c>
      <c r="S55" s="78">
        <f>SUM(S36:S42,S45:S54)</f>
        <v>1</v>
      </c>
      <c r="T55" s="78"/>
      <c r="U55" s="78">
        <f>SUM(U36:U42,U45:U54)</f>
        <v>1</v>
      </c>
      <c r="V55" s="78"/>
      <c r="W55" s="78">
        <f>SUM(W36:W42,W45:W54)</f>
        <v>1</v>
      </c>
      <c r="X55" s="78"/>
      <c r="Y55" s="78">
        <f>SUM(Y36:Y42,Y45:Y54)</f>
        <v>1</v>
      </c>
      <c r="Z55" s="78"/>
      <c r="AA55" s="78">
        <f>SUM(AA36:AA42,AA45:AA54)</f>
        <v>1</v>
      </c>
      <c r="AB55" s="78"/>
      <c r="AC55" s="78">
        <f>SUM(AC36:AC42,AC45:AC54)</f>
        <v>1</v>
      </c>
      <c r="AD55" s="78"/>
      <c r="AE55" s="78">
        <f>SUM(AE36:AE42,AE45:AE54)</f>
        <v>1</v>
      </c>
      <c r="AF55" s="14" t="s">
        <v>167</v>
      </c>
    </row>
    <row r="56" spans="2:32" x14ac:dyDescent="0.25">
      <c r="B56" s="18"/>
      <c r="C56" s="79"/>
      <c r="D56" s="92"/>
      <c r="E56" s="92"/>
      <c r="F56" s="92"/>
      <c r="G56" s="92"/>
      <c r="H56" s="92"/>
      <c r="I56" s="92"/>
      <c r="J56" s="92"/>
      <c r="Q56" s="14" t="s">
        <v>167</v>
      </c>
      <c r="S56" s="78">
        <v>1</v>
      </c>
      <c r="T56" s="78"/>
      <c r="U56" s="78">
        <v>1</v>
      </c>
      <c r="V56" s="78"/>
      <c r="W56" s="78">
        <v>1</v>
      </c>
      <c r="X56" s="78"/>
      <c r="Y56" s="78">
        <v>1</v>
      </c>
      <c r="Z56" s="78"/>
      <c r="AA56" s="78">
        <v>1</v>
      </c>
      <c r="AB56" s="78"/>
      <c r="AC56" s="78">
        <v>1</v>
      </c>
      <c r="AD56" s="78"/>
      <c r="AE56" s="78">
        <v>1</v>
      </c>
    </row>
    <row r="57" spans="2:32" x14ac:dyDescent="0.25">
      <c r="B57" s="18"/>
      <c r="C57" s="79"/>
      <c r="S57" s="78">
        <f t="shared" ref="S57:AE57" si="13">S56-S55</f>
        <v>0</v>
      </c>
      <c r="T57" s="78"/>
      <c r="U57" s="78">
        <f t="shared" si="13"/>
        <v>0</v>
      </c>
      <c r="V57" s="78"/>
      <c r="W57" s="78">
        <f t="shared" si="13"/>
        <v>0</v>
      </c>
      <c r="X57" s="78"/>
      <c r="Y57" s="78">
        <f t="shared" si="13"/>
        <v>0</v>
      </c>
      <c r="Z57" s="78"/>
      <c r="AA57" s="78">
        <f t="shared" si="13"/>
        <v>0</v>
      </c>
      <c r="AB57" s="78"/>
      <c r="AC57" s="78">
        <f t="shared" si="13"/>
        <v>0</v>
      </c>
      <c r="AD57" s="78"/>
      <c r="AE57" s="78">
        <f t="shared" si="13"/>
        <v>0</v>
      </c>
    </row>
    <row r="58" spans="2:32" x14ac:dyDescent="0.25">
      <c r="B58" s="25"/>
      <c r="C58" s="79"/>
    </row>
    <row r="59" spans="2:32" x14ac:dyDescent="0.25">
      <c r="D59" s="92"/>
      <c r="E59" s="92"/>
      <c r="F59" s="92"/>
      <c r="G59" s="92"/>
      <c r="H59" s="92"/>
      <c r="I59" s="92"/>
    </row>
    <row r="60" spans="2:32" x14ac:dyDescent="0.25">
      <c r="D60" s="92"/>
      <c r="E60" s="92"/>
      <c r="F60" s="92"/>
      <c r="G60" s="92"/>
      <c r="H60" s="92"/>
      <c r="I60" s="92"/>
    </row>
    <row r="61" spans="2:32" x14ac:dyDescent="0.25">
      <c r="D61" s="92"/>
      <c r="E61" s="92"/>
      <c r="F61" s="92"/>
      <c r="G61" s="92"/>
      <c r="H61" s="92"/>
      <c r="I61" s="92"/>
    </row>
    <row r="62" spans="2:32" x14ac:dyDescent="0.25">
      <c r="D62" s="92"/>
      <c r="E62" s="92"/>
      <c r="F62" s="92"/>
      <c r="G62" s="92"/>
      <c r="H62" s="92"/>
      <c r="I62" s="92"/>
    </row>
    <row r="63" spans="2:32" x14ac:dyDescent="0.25">
      <c r="D63" s="92"/>
      <c r="E63" s="92"/>
      <c r="F63" s="92"/>
      <c r="G63" s="92"/>
      <c r="H63" s="92"/>
      <c r="I63" s="92"/>
    </row>
    <row r="64" spans="2:32" x14ac:dyDescent="0.25">
      <c r="D64" s="92"/>
      <c r="E64" s="92"/>
      <c r="F64" s="92"/>
      <c r="G64" s="92"/>
      <c r="H64" s="92"/>
      <c r="I64" s="92"/>
    </row>
    <row r="65" spans="2:9" x14ac:dyDescent="0.25">
      <c r="D65" s="92"/>
      <c r="E65" s="92"/>
      <c r="F65" s="92"/>
      <c r="G65" s="92"/>
      <c r="H65" s="92"/>
      <c r="I65" s="92"/>
    </row>
    <row r="66" spans="2:9" x14ac:dyDescent="0.25">
      <c r="D66" s="92"/>
      <c r="E66" s="92"/>
      <c r="F66" s="92"/>
      <c r="G66" s="92"/>
      <c r="H66" s="92"/>
      <c r="I66" s="92"/>
    </row>
    <row r="67" spans="2:9" x14ac:dyDescent="0.25">
      <c r="D67" s="92"/>
      <c r="E67" s="92"/>
      <c r="F67" s="92"/>
      <c r="G67" s="92"/>
      <c r="H67" s="92"/>
      <c r="I67" s="92"/>
    </row>
    <row r="68" spans="2:9" x14ac:dyDescent="0.25">
      <c r="D68" s="92"/>
      <c r="E68" s="92"/>
      <c r="F68" s="92"/>
      <c r="G68" s="92"/>
      <c r="H68" s="92"/>
      <c r="I68" s="92"/>
    </row>
    <row r="69" spans="2:9" x14ac:dyDescent="0.25">
      <c r="D69" s="92"/>
      <c r="E69" s="92"/>
      <c r="F69" s="92"/>
      <c r="G69" s="92"/>
      <c r="H69" s="92"/>
      <c r="I69" s="92"/>
    </row>
    <row r="70" spans="2:9" x14ac:dyDescent="0.25">
      <c r="D70" s="93"/>
      <c r="E70" s="93"/>
      <c r="F70" s="93"/>
      <c r="G70" s="93"/>
      <c r="H70" s="93"/>
      <c r="I70" s="93"/>
    </row>
    <row r="71" spans="2:9" x14ac:dyDescent="0.25">
      <c r="B71" s="18"/>
      <c r="D71" s="92"/>
      <c r="E71" s="92"/>
      <c r="F71" s="92"/>
      <c r="G71" s="92"/>
      <c r="H71" s="92"/>
      <c r="I71" s="92"/>
    </row>
  </sheetData>
  <mergeCells count="4">
    <mergeCell ref="B1:R1"/>
    <mergeCell ref="B2:R2"/>
    <mergeCell ref="B30:R30"/>
    <mergeCell ref="B31:R31"/>
  </mergeCells>
  <printOptions horizontalCentered="1"/>
  <pageMargins left="0.2" right="0.2" top="1" bottom="1" header="0.3" footer="0.3"/>
  <pageSetup scale="95" fitToHeight="2" orientation="landscape" r:id="rId1"/>
  <rowBreaks count="1" manualBreakCount="1">
    <brk id="29" min="1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5" x14ac:dyDescent="0.3"/>
  <cols>
    <col min="1" max="1" width="12.28515625" style="128" bestFit="1" customWidth="1"/>
    <col min="2" max="2" width="14.85546875" style="132" customWidth="1"/>
    <col min="3" max="3" width="30.42578125" style="128" customWidth="1"/>
    <col min="4" max="4" width="13.5703125" style="132" customWidth="1"/>
    <col min="5" max="7" width="16.5703125" style="128" customWidth="1"/>
    <col min="8" max="251" width="10.28515625" style="128" customWidth="1"/>
    <col min="252" max="16384" width="9.140625" style="128"/>
  </cols>
  <sheetData>
    <row r="1" spans="1:7" x14ac:dyDescent="0.3">
      <c r="A1" s="142" t="s">
        <v>365</v>
      </c>
    </row>
    <row r="2" spans="1:7" x14ac:dyDescent="0.3">
      <c r="A2" s="142"/>
    </row>
    <row r="3" spans="1:7" x14ac:dyDescent="0.3">
      <c r="E3" s="129" t="s">
        <v>281</v>
      </c>
      <c r="F3" s="130"/>
      <c r="G3" s="131"/>
    </row>
    <row r="4" spans="1:7" x14ac:dyDescent="0.3">
      <c r="A4" s="143" t="s">
        <v>377</v>
      </c>
      <c r="B4" s="143" t="s">
        <v>73</v>
      </c>
      <c r="C4" s="142"/>
      <c r="D4" s="143" t="s">
        <v>76</v>
      </c>
      <c r="E4" s="143" t="s">
        <v>282</v>
      </c>
      <c r="F4" s="143" t="s">
        <v>282</v>
      </c>
      <c r="G4" s="143" t="s">
        <v>282</v>
      </c>
    </row>
    <row r="5" spans="1:7" ht="15.75" thickBot="1" x14ac:dyDescent="0.35">
      <c r="A5" s="144" t="s">
        <v>378</v>
      </c>
      <c r="B5" s="144" t="s">
        <v>364</v>
      </c>
      <c r="C5" s="145" t="s">
        <v>168</v>
      </c>
      <c r="D5" s="144" t="s">
        <v>364</v>
      </c>
      <c r="E5" s="144" t="s">
        <v>283</v>
      </c>
      <c r="F5" s="144" t="s">
        <v>284</v>
      </c>
      <c r="G5" s="144" t="s">
        <v>285</v>
      </c>
    </row>
    <row r="6" spans="1:7" x14ac:dyDescent="0.3">
      <c r="A6" s="133" t="s">
        <v>14</v>
      </c>
      <c r="B6" s="146" t="s">
        <v>169</v>
      </c>
      <c r="C6" s="94" t="s">
        <v>170</v>
      </c>
      <c r="D6" s="146" t="s">
        <v>286</v>
      </c>
      <c r="E6" s="134">
        <v>0.28999999999999998</v>
      </c>
      <c r="F6" s="135">
        <v>0.29199999999999998</v>
      </c>
      <c r="G6" s="136">
        <v>0.26200000000000001</v>
      </c>
    </row>
    <row r="7" spans="1:7" x14ac:dyDescent="0.3">
      <c r="A7" s="133" t="s">
        <v>14</v>
      </c>
      <c r="B7" s="146" t="s">
        <v>287</v>
      </c>
      <c r="C7" s="94" t="s">
        <v>171</v>
      </c>
      <c r="D7" s="146" t="s">
        <v>288</v>
      </c>
      <c r="E7" s="134">
        <v>0.28999999999999998</v>
      </c>
      <c r="F7" s="135">
        <v>0.29199999999999998</v>
      </c>
      <c r="G7" s="136">
        <v>0.26200000000000001</v>
      </c>
    </row>
    <row r="8" spans="1:7" x14ac:dyDescent="0.3">
      <c r="A8" s="133" t="s">
        <v>14</v>
      </c>
      <c r="B8" s="146" t="s">
        <v>172</v>
      </c>
      <c r="C8" s="94" t="s">
        <v>173</v>
      </c>
      <c r="D8" s="146" t="s">
        <v>289</v>
      </c>
      <c r="E8" s="134">
        <v>0.28999999999999998</v>
      </c>
      <c r="F8" s="135">
        <v>0.29199999999999998</v>
      </c>
      <c r="G8" s="136">
        <v>0.26200000000000001</v>
      </c>
    </row>
    <row r="9" spans="1:7" x14ac:dyDescent="0.3">
      <c r="A9" s="133" t="s">
        <v>290</v>
      </c>
      <c r="B9" s="146" t="s">
        <v>291</v>
      </c>
      <c r="C9" s="94" t="s">
        <v>292</v>
      </c>
      <c r="D9" s="146" t="s">
        <v>293</v>
      </c>
      <c r="E9" s="134">
        <v>0.20799999999999999</v>
      </c>
      <c r="F9" s="135">
        <v>0.20799999999999999</v>
      </c>
      <c r="G9" s="136">
        <v>0.20799999999999999</v>
      </c>
    </row>
    <row r="10" spans="1:7" x14ac:dyDescent="0.3">
      <c r="A10" s="133" t="s">
        <v>14</v>
      </c>
      <c r="B10" s="146" t="s">
        <v>174</v>
      </c>
      <c r="C10" s="94" t="s">
        <v>175</v>
      </c>
      <c r="D10" s="146" t="s">
        <v>294</v>
      </c>
      <c r="E10" s="134">
        <v>0.28999999999999998</v>
      </c>
      <c r="F10" s="135">
        <v>0.29199999999999998</v>
      </c>
      <c r="G10" s="136">
        <v>0.26200000000000001</v>
      </c>
    </row>
    <row r="11" spans="1:7" x14ac:dyDescent="0.3">
      <c r="A11" s="133" t="s">
        <v>14</v>
      </c>
      <c r="B11" s="146" t="s">
        <v>295</v>
      </c>
      <c r="C11" s="94" t="s">
        <v>176</v>
      </c>
      <c r="D11" s="146" t="s">
        <v>296</v>
      </c>
      <c r="E11" s="134">
        <v>0.28999999999999998</v>
      </c>
      <c r="F11" s="135">
        <v>0.29199999999999998</v>
      </c>
      <c r="G11" s="136">
        <v>0.26200000000000001</v>
      </c>
    </row>
    <row r="12" spans="1:7" x14ac:dyDescent="0.3">
      <c r="A12" s="133" t="s">
        <v>14</v>
      </c>
      <c r="B12" s="146" t="s">
        <v>177</v>
      </c>
      <c r="C12" s="94" t="s">
        <v>178</v>
      </c>
      <c r="D12" s="146" t="s">
        <v>297</v>
      </c>
      <c r="E12" s="134">
        <v>0.28999999999999998</v>
      </c>
      <c r="F12" s="135">
        <v>0.29199999999999998</v>
      </c>
      <c r="G12" s="136">
        <v>0.26200000000000001</v>
      </c>
    </row>
    <row r="13" spans="1:7" x14ac:dyDescent="0.3">
      <c r="A13" s="133" t="s">
        <v>290</v>
      </c>
      <c r="B13" s="146" t="s">
        <v>298</v>
      </c>
      <c r="C13" s="94" t="s">
        <v>299</v>
      </c>
      <c r="D13" s="146" t="s">
        <v>300</v>
      </c>
      <c r="E13" s="134">
        <v>0.20799999999999999</v>
      </c>
      <c r="F13" s="135">
        <v>0.20799999999999999</v>
      </c>
      <c r="G13" s="136">
        <v>0.20799999999999999</v>
      </c>
    </row>
    <row r="14" spans="1:7" x14ac:dyDescent="0.3">
      <c r="A14" s="133" t="s">
        <v>16</v>
      </c>
      <c r="B14" s="146" t="s">
        <v>179</v>
      </c>
      <c r="C14" s="94" t="s">
        <v>180</v>
      </c>
      <c r="D14" s="146" t="s">
        <v>301</v>
      </c>
      <c r="E14" s="134">
        <v>0.35599999999999998</v>
      </c>
      <c r="F14" s="135">
        <v>0.35099999999999998</v>
      </c>
      <c r="G14" s="136">
        <v>0.33200000000000002</v>
      </c>
    </row>
    <row r="15" spans="1:7" x14ac:dyDescent="0.3">
      <c r="A15" s="133" t="s">
        <v>16</v>
      </c>
      <c r="B15" s="146" t="s">
        <v>181</v>
      </c>
      <c r="C15" s="94" t="s">
        <v>182</v>
      </c>
      <c r="D15" s="146" t="s">
        <v>302</v>
      </c>
      <c r="E15" s="134">
        <v>0.35599999999999998</v>
      </c>
      <c r="F15" s="135">
        <v>0.35099999999999998</v>
      </c>
      <c r="G15" s="136">
        <v>0.33200000000000002</v>
      </c>
    </row>
    <row r="16" spans="1:7" x14ac:dyDescent="0.3">
      <c r="A16" s="133" t="s">
        <v>16</v>
      </c>
      <c r="B16" s="146" t="s">
        <v>183</v>
      </c>
      <c r="C16" s="94" t="s">
        <v>184</v>
      </c>
      <c r="D16" s="146" t="s">
        <v>303</v>
      </c>
      <c r="E16" s="134">
        <v>0.35599999999999998</v>
      </c>
      <c r="F16" s="135">
        <v>0.35099999999999998</v>
      </c>
      <c r="G16" s="136">
        <v>0.33200000000000002</v>
      </c>
    </row>
    <row r="17" spans="1:7" x14ac:dyDescent="0.3">
      <c r="A17" s="133" t="s">
        <v>20</v>
      </c>
      <c r="B17" s="146" t="s">
        <v>185</v>
      </c>
      <c r="C17" s="94" t="s">
        <v>186</v>
      </c>
      <c r="D17" s="146" t="s">
        <v>304</v>
      </c>
      <c r="E17" s="134">
        <v>0.16200000000000001</v>
      </c>
      <c r="F17" s="135">
        <v>0.161</v>
      </c>
      <c r="G17" s="136">
        <v>0.159</v>
      </c>
    </row>
    <row r="18" spans="1:7" x14ac:dyDescent="0.3">
      <c r="A18" s="133" t="s">
        <v>18</v>
      </c>
      <c r="B18" s="146" t="s">
        <v>187</v>
      </c>
      <c r="C18" s="94" t="s">
        <v>305</v>
      </c>
      <c r="D18" s="146" t="s">
        <v>306</v>
      </c>
      <c r="E18" s="134">
        <v>0.48299999999999998</v>
      </c>
      <c r="F18" s="135">
        <v>0.47799999999999998</v>
      </c>
      <c r="G18" s="136">
        <v>0.33200000000000002</v>
      </c>
    </row>
    <row r="19" spans="1:7" x14ac:dyDescent="0.3">
      <c r="A19" s="133" t="s">
        <v>20</v>
      </c>
      <c r="B19" s="146" t="s">
        <v>188</v>
      </c>
      <c r="C19" s="94" t="s">
        <v>189</v>
      </c>
      <c r="D19" s="146" t="s">
        <v>307</v>
      </c>
      <c r="E19" s="134">
        <v>0.16200000000000001</v>
      </c>
      <c r="F19" s="135">
        <v>0.161</v>
      </c>
      <c r="G19" s="136">
        <v>0.159</v>
      </c>
    </row>
    <row r="20" spans="1:7" x14ac:dyDescent="0.3">
      <c r="A20" s="137" t="s">
        <v>190</v>
      </c>
      <c r="B20" s="146" t="s">
        <v>191</v>
      </c>
      <c r="C20" s="94" t="s">
        <v>192</v>
      </c>
      <c r="D20" s="146" t="s">
        <v>308</v>
      </c>
      <c r="E20" s="134">
        <v>0.13400000000000001</v>
      </c>
      <c r="F20" s="135">
        <v>0.13200000000000001</v>
      </c>
      <c r="G20" s="136">
        <v>0.125</v>
      </c>
    </row>
    <row r="21" spans="1:7" x14ac:dyDescent="0.3">
      <c r="A21" s="137" t="s">
        <v>193</v>
      </c>
      <c r="B21" s="146" t="s">
        <v>194</v>
      </c>
      <c r="C21" s="94" t="s">
        <v>195</v>
      </c>
      <c r="D21" s="146" t="s">
        <v>309</v>
      </c>
      <c r="E21" s="134">
        <v>0.154</v>
      </c>
      <c r="F21" s="135">
        <v>0.152</v>
      </c>
      <c r="G21" s="136">
        <v>0.14499999999999999</v>
      </c>
    </row>
    <row r="22" spans="1:7" x14ac:dyDescent="0.3">
      <c r="A22" s="137" t="s">
        <v>196</v>
      </c>
      <c r="B22" s="146" t="s">
        <v>197</v>
      </c>
      <c r="C22" s="94" t="s">
        <v>198</v>
      </c>
      <c r="D22" s="146" t="s">
        <v>310</v>
      </c>
      <c r="E22" s="134">
        <v>0.19400000000000001</v>
      </c>
      <c r="F22" s="135">
        <v>0.192</v>
      </c>
      <c r="G22" s="136">
        <v>0.185</v>
      </c>
    </row>
    <row r="23" spans="1:7" x14ac:dyDescent="0.3">
      <c r="A23" s="137" t="s">
        <v>199</v>
      </c>
      <c r="B23" s="146" t="s">
        <v>200</v>
      </c>
      <c r="C23" s="94" t="s">
        <v>201</v>
      </c>
      <c r="D23" s="146" t="s">
        <v>311</v>
      </c>
      <c r="E23" s="134">
        <v>0.20399999999999999</v>
      </c>
      <c r="F23" s="135">
        <v>0.20200000000000001</v>
      </c>
      <c r="G23" s="136">
        <v>0.19500000000000001</v>
      </c>
    </row>
    <row r="24" spans="1:7" x14ac:dyDescent="0.3">
      <c r="A24" s="137" t="s">
        <v>202</v>
      </c>
      <c r="B24" s="146" t="s">
        <v>203</v>
      </c>
      <c r="C24" s="94" t="s">
        <v>204</v>
      </c>
      <c r="D24" s="146" t="s">
        <v>312</v>
      </c>
      <c r="E24" s="134">
        <v>0.214</v>
      </c>
      <c r="F24" s="135">
        <v>0.21199999999999999</v>
      </c>
      <c r="G24" s="136">
        <v>0.20499999999999999</v>
      </c>
    </row>
    <row r="25" spans="1:7" x14ac:dyDescent="0.3">
      <c r="A25" s="137" t="s">
        <v>205</v>
      </c>
      <c r="B25" s="146" t="s">
        <v>206</v>
      </c>
      <c r="C25" s="94" t="s">
        <v>207</v>
      </c>
      <c r="D25" s="146" t="s">
        <v>313</v>
      </c>
      <c r="E25" s="134">
        <v>0.19400000000000001</v>
      </c>
      <c r="F25" s="135">
        <v>0.192</v>
      </c>
      <c r="G25" s="136">
        <v>0.185</v>
      </c>
    </row>
    <row r="26" spans="1:7" x14ac:dyDescent="0.3">
      <c r="A26" s="137" t="s">
        <v>208</v>
      </c>
      <c r="B26" s="146" t="s">
        <v>209</v>
      </c>
      <c r="C26" s="94" t="s">
        <v>210</v>
      </c>
      <c r="D26" s="146" t="s">
        <v>314</v>
      </c>
      <c r="E26" s="134">
        <v>0.248</v>
      </c>
      <c r="F26" s="135">
        <v>0.246</v>
      </c>
      <c r="G26" s="136">
        <v>0.23899999999999999</v>
      </c>
    </row>
    <row r="27" spans="1:7" x14ac:dyDescent="0.3">
      <c r="A27" s="137" t="s">
        <v>315</v>
      </c>
      <c r="B27" s="146" t="s">
        <v>316</v>
      </c>
      <c r="C27" s="94" t="s">
        <v>317</v>
      </c>
      <c r="D27" s="146" t="s">
        <v>318</v>
      </c>
      <c r="E27" s="134">
        <v>0.19400000000000001</v>
      </c>
      <c r="F27" s="135">
        <v>0.192</v>
      </c>
      <c r="G27" s="136">
        <v>0.185</v>
      </c>
    </row>
    <row r="28" spans="1:7" x14ac:dyDescent="0.3">
      <c r="A28" s="133" t="s">
        <v>20</v>
      </c>
      <c r="B28" s="146" t="s">
        <v>211</v>
      </c>
      <c r="C28" s="94" t="s">
        <v>212</v>
      </c>
      <c r="D28" s="146" t="s">
        <v>319</v>
      </c>
      <c r="E28" s="134">
        <v>0.16200000000000001</v>
      </c>
      <c r="F28" s="135">
        <v>0.161</v>
      </c>
      <c r="G28" s="136">
        <v>0.159</v>
      </c>
    </row>
    <row r="29" spans="1:7" x14ac:dyDescent="0.3">
      <c r="A29" s="138" t="s">
        <v>14</v>
      </c>
      <c r="B29" s="146" t="s">
        <v>213</v>
      </c>
      <c r="C29" s="94" t="s">
        <v>214</v>
      </c>
      <c r="D29" s="146" t="s">
        <v>320</v>
      </c>
      <c r="E29" s="134">
        <v>0.28999999999999998</v>
      </c>
      <c r="F29" s="135">
        <v>0.29199999999999998</v>
      </c>
      <c r="G29" s="136">
        <v>0.26200000000000001</v>
      </c>
    </row>
    <row r="30" spans="1:7" x14ac:dyDescent="0.3">
      <c r="A30" s="138" t="s">
        <v>14</v>
      </c>
      <c r="B30" s="146" t="s">
        <v>215</v>
      </c>
      <c r="C30" s="94" t="s">
        <v>216</v>
      </c>
      <c r="D30" s="146" t="s">
        <v>321</v>
      </c>
      <c r="E30" s="134">
        <v>0.28999999999999998</v>
      </c>
      <c r="F30" s="135">
        <v>0.29199999999999998</v>
      </c>
      <c r="G30" s="136">
        <v>0.26200000000000001</v>
      </c>
    </row>
    <row r="31" spans="1:7" x14ac:dyDescent="0.3">
      <c r="A31" s="133" t="s">
        <v>20</v>
      </c>
      <c r="B31" s="146" t="s">
        <v>217</v>
      </c>
      <c r="C31" s="94" t="s">
        <v>218</v>
      </c>
      <c r="D31" s="146" t="s">
        <v>322</v>
      </c>
      <c r="E31" s="134">
        <v>0.16200000000000001</v>
      </c>
      <c r="F31" s="135">
        <v>0.161</v>
      </c>
      <c r="G31" s="136">
        <v>0.159</v>
      </c>
    </row>
    <row r="32" spans="1:7" x14ac:dyDescent="0.3">
      <c r="A32" s="133" t="s">
        <v>20</v>
      </c>
      <c r="B32" s="146" t="s">
        <v>219</v>
      </c>
      <c r="C32" s="94" t="s">
        <v>220</v>
      </c>
      <c r="D32" s="146" t="s">
        <v>323</v>
      </c>
      <c r="E32" s="134">
        <v>0.16200000000000001</v>
      </c>
      <c r="F32" s="135">
        <v>0.161</v>
      </c>
      <c r="G32" s="136">
        <v>0.159</v>
      </c>
    </row>
    <row r="33" spans="1:7" x14ac:dyDescent="0.3">
      <c r="A33" s="138" t="s">
        <v>20</v>
      </c>
      <c r="B33" s="146" t="s">
        <v>221</v>
      </c>
      <c r="C33" s="94" t="s">
        <v>222</v>
      </c>
      <c r="D33" s="146" t="s">
        <v>324</v>
      </c>
      <c r="E33" s="134">
        <v>0.16200000000000001</v>
      </c>
      <c r="F33" s="135">
        <v>0.161</v>
      </c>
      <c r="G33" s="136">
        <v>0.159</v>
      </c>
    </row>
    <row r="34" spans="1:7" x14ac:dyDescent="0.3">
      <c r="A34" s="138" t="s">
        <v>16</v>
      </c>
      <c r="B34" s="146" t="s">
        <v>223</v>
      </c>
      <c r="C34" s="94" t="s">
        <v>224</v>
      </c>
      <c r="D34" s="146" t="s">
        <v>325</v>
      </c>
      <c r="E34" s="134">
        <v>0.35599999999999998</v>
      </c>
      <c r="F34" s="135">
        <v>0.35099999999999998</v>
      </c>
      <c r="G34" s="136">
        <v>0.33200000000000002</v>
      </c>
    </row>
    <row r="35" spans="1:7" x14ac:dyDescent="0.3">
      <c r="A35" s="138" t="s">
        <v>20</v>
      </c>
      <c r="B35" s="146" t="s">
        <v>225</v>
      </c>
      <c r="C35" s="94" t="s">
        <v>226</v>
      </c>
      <c r="D35" s="146" t="s">
        <v>326</v>
      </c>
      <c r="E35" s="134">
        <v>0.16200000000000001</v>
      </c>
      <c r="F35" s="135">
        <v>0.161</v>
      </c>
      <c r="G35" s="136">
        <v>0.159</v>
      </c>
    </row>
    <row r="36" spans="1:7" x14ac:dyDescent="0.3">
      <c r="A36" s="138" t="s">
        <v>26</v>
      </c>
      <c r="B36" s="146" t="s">
        <v>227</v>
      </c>
      <c r="C36" s="94" t="s">
        <v>228</v>
      </c>
      <c r="D36" s="146" t="s">
        <v>327</v>
      </c>
      <c r="E36" s="134">
        <v>0.122</v>
      </c>
      <c r="F36" s="135">
        <v>0.115</v>
      </c>
      <c r="G36" s="136">
        <v>0.10100000000000001</v>
      </c>
    </row>
    <row r="37" spans="1:7" x14ac:dyDescent="0.3">
      <c r="A37" s="138" t="s">
        <v>26</v>
      </c>
      <c r="B37" s="146" t="s">
        <v>229</v>
      </c>
      <c r="C37" s="94" t="s">
        <v>230</v>
      </c>
      <c r="D37" s="146" t="s">
        <v>328</v>
      </c>
      <c r="E37" s="134">
        <v>0.122</v>
      </c>
      <c r="F37" s="135">
        <v>0.115</v>
      </c>
      <c r="G37" s="136">
        <v>0.10100000000000001</v>
      </c>
    </row>
    <row r="38" spans="1:7" x14ac:dyDescent="0.3">
      <c r="A38" s="138" t="s">
        <v>26</v>
      </c>
      <c r="B38" s="146" t="s">
        <v>231</v>
      </c>
      <c r="C38" s="94" t="s">
        <v>232</v>
      </c>
      <c r="D38" s="146" t="s">
        <v>329</v>
      </c>
      <c r="E38" s="134">
        <v>0.122</v>
      </c>
      <c r="F38" s="135">
        <v>0.115</v>
      </c>
      <c r="G38" s="136">
        <v>0.10100000000000001</v>
      </c>
    </row>
    <row r="39" spans="1:7" x14ac:dyDescent="0.3">
      <c r="A39" s="138" t="s">
        <v>14</v>
      </c>
      <c r="B39" s="146" t="s">
        <v>330</v>
      </c>
      <c r="C39" s="94" t="s">
        <v>331</v>
      </c>
      <c r="D39" s="146" t="s">
        <v>332</v>
      </c>
      <c r="E39" s="134">
        <v>0.28999999999999998</v>
      </c>
      <c r="F39" s="135">
        <v>0.29199999999999998</v>
      </c>
      <c r="G39" s="136">
        <v>0.26200000000000001</v>
      </c>
    </row>
    <row r="40" spans="1:7" x14ac:dyDescent="0.3">
      <c r="A40" s="138" t="s">
        <v>14</v>
      </c>
      <c r="B40" s="146" t="s">
        <v>333</v>
      </c>
      <c r="C40" s="94" t="s">
        <v>334</v>
      </c>
      <c r="D40" s="146" t="s">
        <v>335</v>
      </c>
      <c r="E40" s="134">
        <v>0.28999999999999998</v>
      </c>
      <c r="F40" s="135">
        <v>0.29199999999999998</v>
      </c>
      <c r="G40" s="136">
        <v>0.26200000000000001</v>
      </c>
    </row>
    <row r="41" spans="1:7" x14ac:dyDescent="0.3">
      <c r="A41" s="138" t="s">
        <v>16</v>
      </c>
      <c r="B41" s="146" t="s">
        <v>336</v>
      </c>
      <c r="C41" s="94" t="s">
        <v>337</v>
      </c>
      <c r="D41" s="146" t="s">
        <v>338</v>
      </c>
      <c r="E41" s="134">
        <v>0.35599999999999998</v>
      </c>
      <c r="F41" s="135">
        <v>0.35099999999999998</v>
      </c>
      <c r="G41" s="136">
        <v>0.33200000000000002</v>
      </c>
    </row>
    <row r="42" spans="1:7" x14ac:dyDescent="0.3">
      <c r="A42" s="138" t="s">
        <v>18</v>
      </c>
      <c r="B42" s="146" t="s">
        <v>339</v>
      </c>
      <c r="C42" s="94" t="s">
        <v>340</v>
      </c>
      <c r="D42" s="146" t="s">
        <v>341</v>
      </c>
      <c r="E42" s="134">
        <v>0.48299999999999998</v>
      </c>
      <c r="F42" s="135">
        <v>0.47799999999999998</v>
      </c>
      <c r="G42" s="136">
        <v>0.33200000000000002</v>
      </c>
    </row>
    <row r="43" spans="1:7" x14ac:dyDescent="0.3">
      <c r="A43" s="138" t="s">
        <v>14</v>
      </c>
      <c r="B43" s="146" t="s">
        <v>342</v>
      </c>
      <c r="C43" s="94" t="s">
        <v>343</v>
      </c>
      <c r="D43" s="146" t="s">
        <v>344</v>
      </c>
      <c r="E43" s="134">
        <v>0.28999999999999998</v>
      </c>
      <c r="F43" s="135">
        <v>0.29199999999999998</v>
      </c>
      <c r="G43" s="136">
        <v>0.26200000000000001</v>
      </c>
    </row>
    <row r="44" spans="1:7" x14ac:dyDescent="0.3">
      <c r="A44" s="138" t="s">
        <v>22</v>
      </c>
      <c r="B44" s="146" t="s">
        <v>233</v>
      </c>
      <c r="C44" s="94" t="s">
        <v>234</v>
      </c>
      <c r="D44" s="146" t="s">
        <v>345</v>
      </c>
      <c r="E44" s="134">
        <v>6.0000000000000001E-3</v>
      </c>
      <c r="F44" s="135">
        <v>6.0000000000000001E-3</v>
      </c>
      <c r="G44" s="136">
        <v>5.0000000000000001E-3</v>
      </c>
    </row>
    <row r="45" spans="1:7" x14ac:dyDescent="0.3">
      <c r="A45" s="138" t="s">
        <v>22</v>
      </c>
      <c r="B45" s="146" t="s">
        <v>235</v>
      </c>
      <c r="C45" s="94" t="s">
        <v>236</v>
      </c>
      <c r="D45" s="146" t="s">
        <v>346</v>
      </c>
      <c r="E45" s="134">
        <v>6.0000000000000001E-3</v>
      </c>
      <c r="F45" s="135">
        <v>6.0000000000000001E-3</v>
      </c>
      <c r="G45" s="136">
        <v>5.0000000000000001E-3</v>
      </c>
    </row>
    <row r="46" spans="1:7" x14ac:dyDescent="0.3">
      <c r="A46" s="138" t="s">
        <v>22</v>
      </c>
      <c r="B46" s="146" t="s">
        <v>237</v>
      </c>
      <c r="C46" s="94" t="s">
        <v>238</v>
      </c>
      <c r="D46" s="146" t="s">
        <v>347</v>
      </c>
      <c r="E46" s="134">
        <v>6.0000000000000001E-3</v>
      </c>
      <c r="F46" s="135">
        <v>6.0000000000000001E-3</v>
      </c>
      <c r="G46" s="136">
        <v>5.0000000000000001E-3</v>
      </c>
    </row>
    <row r="47" spans="1:7" x14ac:dyDescent="0.3">
      <c r="A47" s="138" t="s">
        <v>22</v>
      </c>
      <c r="B47" s="146" t="s">
        <v>348</v>
      </c>
      <c r="C47" s="94" t="s">
        <v>239</v>
      </c>
      <c r="D47" s="146" t="s">
        <v>349</v>
      </c>
      <c r="E47" s="134">
        <v>6.0000000000000001E-3</v>
      </c>
      <c r="F47" s="135">
        <v>6.0000000000000001E-3</v>
      </c>
      <c r="G47" s="136">
        <v>5.0000000000000001E-3</v>
      </c>
    </row>
    <row r="48" spans="1:7" x14ac:dyDescent="0.3">
      <c r="A48" s="138" t="s">
        <v>20</v>
      </c>
      <c r="B48" s="146" t="s">
        <v>240</v>
      </c>
      <c r="C48" s="94" t="s">
        <v>241</v>
      </c>
      <c r="D48" s="146" t="s">
        <v>350</v>
      </c>
      <c r="E48" s="134">
        <v>0.16200000000000001</v>
      </c>
      <c r="F48" s="135">
        <v>0.161</v>
      </c>
      <c r="G48" s="136">
        <v>0.159</v>
      </c>
    </row>
    <row r="49" spans="1:7" x14ac:dyDescent="0.3">
      <c r="A49" s="138" t="s">
        <v>20</v>
      </c>
      <c r="B49" s="146" t="s">
        <v>242</v>
      </c>
      <c r="C49" s="94" t="s">
        <v>243</v>
      </c>
      <c r="D49" s="146" t="s">
        <v>351</v>
      </c>
      <c r="E49" s="134">
        <v>0.16200000000000001</v>
      </c>
      <c r="F49" s="135">
        <v>0.161</v>
      </c>
      <c r="G49" s="136">
        <v>0.159</v>
      </c>
    </row>
    <row r="50" spans="1:7" x14ac:dyDescent="0.3">
      <c r="A50" s="138" t="s">
        <v>20</v>
      </c>
      <c r="B50" s="146" t="s">
        <v>244</v>
      </c>
      <c r="C50" s="94" t="s">
        <v>245</v>
      </c>
      <c r="D50" s="146" t="s">
        <v>352</v>
      </c>
      <c r="E50" s="134">
        <v>0.16200000000000001</v>
      </c>
      <c r="F50" s="135">
        <v>0.161</v>
      </c>
      <c r="G50" s="136">
        <v>0.159</v>
      </c>
    </row>
    <row r="51" spans="1:7" x14ac:dyDescent="0.3">
      <c r="A51" s="138" t="s">
        <v>22</v>
      </c>
      <c r="B51" s="146" t="s">
        <v>246</v>
      </c>
      <c r="C51" s="94" t="s">
        <v>247</v>
      </c>
      <c r="D51" s="146" t="s">
        <v>353</v>
      </c>
      <c r="E51" s="134">
        <v>6.0000000000000001E-3</v>
      </c>
      <c r="F51" s="135">
        <v>6.0000000000000001E-3</v>
      </c>
      <c r="G51" s="136">
        <v>5.0000000000000001E-3</v>
      </c>
    </row>
    <row r="52" spans="1:7" x14ac:dyDescent="0.3">
      <c r="A52" s="138" t="s">
        <v>22</v>
      </c>
      <c r="B52" s="146" t="s">
        <v>248</v>
      </c>
      <c r="C52" s="94" t="s">
        <v>249</v>
      </c>
      <c r="D52" s="146" t="s">
        <v>354</v>
      </c>
      <c r="E52" s="134">
        <v>6.0000000000000001E-3</v>
      </c>
      <c r="F52" s="135">
        <v>6.0000000000000001E-3</v>
      </c>
      <c r="G52" s="136">
        <v>5.0000000000000001E-3</v>
      </c>
    </row>
    <row r="53" spans="1:7" x14ac:dyDescent="0.3">
      <c r="A53" s="138" t="s">
        <v>20</v>
      </c>
      <c r="B53" s="146" t="s">
        <v>250</v>
      </c>
      <c r="C53" s="94" t="s">
        <v>251</v>
      </c>
      <c r="D53" s="146" t="s">
        <v>355</v>
      </c>
      <c r="E53" s="134">
        <v>0.16200000000000001</v>
      </c>
      <c r="F53" s="135">
        <v>0.161</v>
      </c>
      <c r="G53" s="136">
        <v>0.159</v>
      </c>
    </row>
    <row r="54" spans="1:7" x14ac:dyDescent="0.3">
      <c r="A54" s="138" t="s">
        <v>22</v>
      </c>
      <c r="B54" s="146" t="s">
        <v>263</v>
      </c>
      <c r="C54" s="94" t="s">
        <v>252</v>
      </c>
      <c r="D54" s="146" t="s">
        <v>356</v>
      </c>
      <c r="E54" s="134">
        <v>6.0000000000000001E-3</v>
      </c>
      <c r="F54" s="135">
        <v>6.0000000000000001E-3</v>
      </c>
      <c r="G54" s="136">
        <v>5.0000000000000001E-3</v>
      </c>
    </row>
    <row r="55" spans="1:7" x14ac:dyDescent="0.3">
      <c r="A55" s="138" t="s">
        <v>20</v>
      </c>
      <c r="B55" s="146" t="s">
        <v>253</v>
      </c>
      <c r="C55" s="94" t="s">
        <v>254</v>
      </c>
      <c r="D55" s="146" t="s">
        <v>357</v>
      </c>
      <c r="E55" s="134">
        <v>0.16200000000000001</v>
      </c>
      <c r="F55" s="135">
        <v>0.161</v>
      </c>
      <c r="G55" s="136">
        <v>0.159</v>
      </c>
    </row>
    <row r="56" spans="1:7" x14ac:dyDescent="0.3">
      <c r="A56" s="138" t="s">
        <v>26</v>
      </c>
      <c r="B56" s="146" t="s">
        <v>264</v>
      </c>
      <c r="C56" s="94" t="s">
        <v>255</v>
      </c>
      <c r="D56" s="146" t="s">
        <v>358</v>
      </c>
      <c r="E56" s="134">
        <v>0.122</v>
      </c>
      <c r="F56" s="135">
        <v>0.115</v>
      </c>
      <c r="G56" s="136">
        <v>0.10100000000000001</v>
      </c>
    </row>
    <row r="57" spans="1:7" x14ac:dyDescent="0.3">
      <c r="A57" s="138" t="s">
        <v>26</v>
      </c>
      <c r="B57" s="146" t="s">
        <v>256</v>
      </c>
      <c r="C57" s="94" t="s">
        <v>257</v>
      </c>
      <c r="D57" s="146" t="s">
        <v>359</v>
      </c>
      <c r="E57" s="134">
        <v>0.122</v>
      </c>
      <c r="F57" s="135">
        <v>0.115</v>
      </c>
      <c r="G57" s="136">
        <v>0.10100000000000001</v>
      </c>
    </row>
    <row r="58" spans="1:7" x14ac:dyDescent="0.3">
      <c r="A58" s="138" t="s">
        <v>26</v>
      </c>
      <c r="B58" s="146" t="s">
        <v>265</v>
      </c>
      <c r="C58" s="94" t="s">
        <v>258</v>
      </c>
      <c r="D58" s="146" t="s">
        <v>360</v>
      </c>
      <c r="E58" s="134">
        <v>0.122</v>
      </c>
      <c r="F58" s="135">
        <v>0.115</v>
      </c>
      <c r="G58" s="136">
        <v>0.10100000000000001</v>
      </c>
    </row>
    <row r="59" spans="1:7" x14ac:dyDescent="0.3">
      <c r="A59" s="138" t="s">
        <v>26</v>
      </c>
      <c r="B59" s="146">
        <v>65202</v>
      </c>
      <c r="C59" s="94" t="s">
        <v>259</v>
      </c>
      <c r="D59" s="146" t="s">
        <v>361</v>
      </c>
      <c r="E59" s="134">
        <v>0.122</v>
      </c>
      <c r="F59" s="135">
        <v>0.115</v>
      </c>
      <c r="G59" s="136">
        <v>0.10100000000000001</v>
      </c>
    </row>
    <row r="60" spans="1:7" x14ac:dyDescent="0.3">
      <c r="A60" s="138" t="s">
        <v>26</v>
      </c>
      <c r="B60" s="146">
        <v>65203</v>
      </c>
      <c r="C60" s="94" t="s">
        <v>260</v>
      </c>
      <c r="D60" s="146" t="s">
        <v>362</v>
      </c>
      <c r="E60" s="134">
        <v>0.122</v>
      </c>
      <c r="F60" s="135">
        <v>0.115</v>
      </c>
      <c r="G60" s="136">
        <v>0.10100000000000001</v>
      </c>
    </row>
    <row r="61" spans="1:7" ht="15.75" thickBot="1" x14ac:dyDescent="0.35">
      <c r="A61" s="137" t="s">
        <v>24</v>
      </c>
      <c r="B61" s="146" t="s">
        <v>261</v>
      </c>
      <c r="C61" s="94" t="s">
        <v>262</v>
      </c>
      <c r="D61" s="146" t="s">
        <v>363</v>
      </c>
      <c r="E61" s="139">
        <v>3.6999999999999998E-2</v>
      </c>
      <c r="F61" s="140">
        <v>4.9000000000000002E-2</v>
      </c>
      <c r="G61" s="141">
        <v>2.9000000000000001E-2</v>
      </c>
    </row>
    <row r="62" spans="1:7" ht="15.75" thickTop="1" x14ac:dyDescent="0.3">
      <c r="E62" s="132"/>
      <c r="F62" s="132"/>
      <c r="G62" s="132"/>
    </row>
    <row r="63" spans="1:7" x14ac:dyDescent="0.3">
      <c r="E63" s="132"/>
      <c r="F63" s="132"/>
      <c r="G63" s="132"/>
    </row>
    <row r="64" spans="1:7" x14ac:dyDescent="0.3">
      <c r="E64" s="132"/>
      <c r="F64" s="132"/>
      <c r="G64" s="132"/>
    </row>
    <row r="65" spans="5:7" x14ac:dyDescent="0.3">
      <c r="E65" s="132"/>
      <c r="F65" s="132"/>
      <c r="G65" s="132"/>
    </row>
    <row r="66" spans="5:7" x14ac:dyDescent="0.3">
      <c r="E66" s="132"/>
      <c r="F66" s="132"/>
      <c r="G66" s="132"/>
    </row>
    <row r="67" spans="5:7" x14ac:dyDescent="0.3">
      <c r="E67" s="132"/>
      <c r="F67" s="132"/>
      <c r="G67" s="132"/>
    </row>
    <row r="68" spans="5:7" x14ac:dyDescent="0.3">
      <c r="E68" s="132"/>
      <c r="F68" s="132"/>
      <c r="G68" s="132"/>
    </row>
    <row r="69" spans="5:7" x14ac:dyDescent="0.3">
      <c r="E69" s="132"/>
      <c r="F69" s="132"/>
      <c r="G69" s="132"/>
    </row>
    <row r="70" spans="5:7" x14ac:dyDescent="0.3">
      <c r="E70" s="132"/>
      <c r="F70" s="132"/>
      <c r="G70" s="132"/>
    </row>
    <row r="71" spans="5:7" x14ac:dyDescent="0.3">
      <c r="E71" s="132"/>
      <c r="F71" s="132"/>
      <c r="G71" s="132"/>
    </row>
    <row r="72" spans="5:7" x14ac:dyDescent="0.3">
      <c r="E72" s="132"/>
      <c r="F72" s="132"/>
      <c r="G72" s="132"/>
    </row>
    <row r="73" spans="5:7" x14ac:dyDescent="0.3">
      <c r="E73" s="132"/>
      <c r="F73" s="132"/>
      <c r="G73" s="132"/>
    </row>
    <row r="74" spans="5:7" x14ac:dyDescent="0.3">
      <c r="E74" s="132"/>
      <c r="F74" s="132"/>
      <c r="G74" s="132"/>
    </row>
    <row r="75" spans="5:7" x14ac:dyDescent="0.3">
      <c r="E75" s="132"/>
      <c r="F75" s="132"/>
      <c r="G75" s="132"/>
    </row>
    <row r="76" spans="5:7" x14ac:dyDescent="0.3">
      <c r="E76" s="132"/>
      <c r="F76" s="132"/>
      <c r="G76" s="132"/>
    </row>
    <row r="77" spans="5:7" x14ac:dyDescent="0.3">
      <c r="E77" s="132"/>
      <c r="F77" s="132"/>
      <c r="G77" s="132"/>
    </row>
    <row r="78" spans="5:7" x14ac:dyDescent="0.3">
      <c r="E78" s="132"/>
      <c r="F78" s="132"/>
      <c r="G78" s="132"/>
    </row>
    <row r="79" spans="5:7" x14ac:dyDescent="0.3">
      <c r="E79" s="132"/>
      <c r="F79" s="132"/>
      <c r="G79" s="132"/>
    </row>
    <row r="80" spans="5:7" x14ac:dyDescent="0.3">
      <c r="E80" s="132"/>
      <c r="F80" s="132"/>
      <c r="G80" s="132"/>
    </row>
    <row r="81" spans="5:7" x14ac:dyDescent="0.3">
      <c r="E81" s="132"/>
      <c r="F81" s="132"/>
      <c r="G81" s="132"/>
    </row>
    <row r="82" spans="5:7" x14ac:dyDescent="0.3">
      <c r="E82" s="132"/>
      <c r="F82" s="132"/>
      <c r="G82" s="132"/>
    </row>
    <row r="83" spans="5:7" x14ac:dyDescent="0.3">
      <c r="E83" s="132"/>
      <c r="F83" s="132"/>
      <c r="G83" s="132"/>
    </row>
  </sheetData>
  <mergeCells count="1">
    <mergeCell ref="E3:G3"/>
  </mergeCell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pane ySplit="5" topLeftCell="A6" activePane="bottomLeft" state="frozen"/>
      <selection pane="bottomLeft" activeCell="K11" sqref="K11"/>
    </sheetView>
  </sheetViews>
  <sheetFormatPr defaultRowHeight="15" x14ac:dyDescent="0.3"/>
  <cols>
    <col min="1" max="1" width="12.28515625" style="128" bestFit="1" customWidth="1"/>
    <col min="2" max="2" width="14.85546875" style="132" customWidth="1"/>
    <col min="3" max="3" width="30.42578125" style="128" customWidth="1"/>
    <col min="4" max="4" width="13.5703125" style="132" customWidth="1"/>
    <col min="5" max="7" width="16.28515625" style="128" customWidth="1"/>
    <col min="8" max="251" width="10.28515625" style="128" customWidth="1"/>
    <col min="252" max="16384" width="9.140625" style="128"/>
  </cols>
  <sheetData>
    <row r="1" spans="1:7" x14ac:dyDescent="0.3">
      <c r="A1" s="142" t="s">
        <v>381</v>
      </c>
    </row>
    <row r="2" spans="1:7" x14ac:dyDescent="0.3">
      <c r="A2" s="142"/>
    </row>
    <row r="3" spans="1:7" x14ac:dyDescent="0.3">
      <c r="E3" s="129" t="s">
        <v>281</v>
      </c>
      <c r="F3" s="130"/>
      <c r="G3" s="131"/>
    </row>
    <row r="4" spans="1:7" x14ac:dyDescent="0.3">
      <c r="A4" s="143" t="s">
        <v>379</v>
      </c>
      <c r="B4" s="143" t="s">
        <v>73</v>
      </c>
      <c r="C4" s="142"/>
      <c r="D4" s="143" t="s">
        <v>76</v>
      </c>
      <c r="E4" s="143" t="s">
        <v>282</v>
      </c>
      <c r="F4" s="143" t="s">
        <v>282</v>
      </c>
      <c r="G4" s="143" t="s">
        <v>282</v>
      </c>
    </row>
    <row r="5" spans="1:7" ht="15.75" thickBot="1" x14ac:dyDescent="0.35">
      <c r="A5" s="144" t="s">
        <v>378</v>
      </c>
      <c r="B5" s="144" t="s">
        <v>382</v>
      </c>
      <c r="C5" s="145" t="s">
        <v>168</v>
      </c>
      <c r="D5" s="144" t="s">
        <v>382</v>
      </c>
      <c r="E5" s="144" t="s">
        <v>283</v>
      </c>
      <c r="F5" s="144" t="s">
        <v>284</v>
      </c>
      <c r="G5" s="144" t="s">
        <v>285</v>
      </c>
    </row>
    <row r="6" spans="1:7" x14ac:dyDescent="0.3">
      <c r="A6" s="133" t="s">
        <v>15</v>
      </c>
      <c r="B6" s="146" t="s">
        <v>169</v>
      </c>
      <c r="C6" s="94" t="s">
        <v>170</v>
      </c>
      <c r="D6" s="146" t="s">
        <v>286</v>
      </c>
      <c r="E6" s="134">
        <v>0.38500000000000001</v>
      </c>
      <c r="F6" s="135">
        <v>0.38400000000000001</v>
      </c>
      <c r="G6" s="136">
        <v>0.34200000000000003</v>
      </c>
    </row>
    <row r="7" spans="1:7" x14ac:dyDescent="0.3">
      <c r="A7" s="133" t="s">
        <v>15</v>
      </c>
      <c r="B7" s="146" t="s">
        <v>287</v>
      </c>
      <c r="C7" s="94" t="s">
        <v>171</v>
      </c>
      <c r="D7" s="146" t="s">
        <v>288</v>
      </c>
      <c r="E7" s="134">
        <v>0.38500000000000001</v>
      </c>
      <c r="F7" s="135">
        <v>0.38400000000000001</v>
      </c>
      <c r="G7" s="136">
        <v>0.34200000000000003</v>
      </c>
    </row>
    <row r="8" spans="1:7" x14ac:dyDescent="0.3">
      <c r="A8" s="133" t="s">
        <v>15</v>
      </c>
      <c r="B8" s="146" t="s">
        <v>172</v>
      </c>
      <c r="C8" s="94" t="s">
        <v>173</v>
      </c>
      <c r="D8" s="146" t="s">
        <v>289</v>
      </c>
      <c r="E8" s="134">
        <v>0.38500000000000001</v>
      </c>
      <c r="F8" s="135">
        <v>0.38400000000000001</v>
      </c>
      <c r="G8" s="136">
        <v>0.34200000000000003</v>
      </c>
    </row>
    <row r="9" spans="1:7" x14ac:dyDescent="0.3">
      <c r="A9" s="133" t="s">
        <v>290</v>
      </c>
      <c r="B9" s="146" t="s">
        <v>291</v>
      </c>
      <c r="C9" s="94" t="s">
        <v>292</v>
      </c>
      <c r="D9" s="146" t="s">
        <v>293</v>
      </c>
      <c r="E9" s="134">
        <v>0.20799999999999999</v>
      </c>
      <c r="F9" s="135">
        <v>0.20799999999999999</v>
      </c>
      <c r="G9" s="136">
        <v>0.20799999999999999</v>
      </c>
    </row>
    <row r="10" spans="1:7" x14ac:dyDescent="0.3">
      <c r="A10" s="133" t="s">
        <v>15</v>
      </c>
      <c r="B10" s="146" t="s">
        <v>174</v>
      </c>
      <c r="C10" s="94" t="s">
        <v>175</v>
      </c>
      <c r="D10" s="146" t="s">
        <v>294</v>
      </c>
      <c r="E10" s="134">
        <v>0.38500000000000001</v>
      </c>
      <c r="F10" s="135">
        <v>0.38400000000000001</v>
      </c>
      <c r="G10" s="136">
        <v>0.34200000000000003</v>
      </c>
    </row>
    <row r="11" spans="1:7" x14ac:dyDescent="0.3">
      <c r="A11" s="133" t="s">
        <v>15</v>
      </c>
      <c r="B11" s="146" t="s">
        <v>295</v>
      </c>
      <c r="C11" s="94" t="s">
        <v>176</v>
      </c>
      <c r="D11" s="146" t="s">
        <v>296</v>
      </c>
      <c r="E11" s="134">
        <v>0.38500000000000001</v>
      </c>
      <c r="F11" s="135">
        <v>0.38400000000000001</v>
      </c>
      <c r="G11" s="136">
        <v>0.34200000000000003</v>
      </c>
    </row>
    <row r="12" spans="1:7" x14ac:dyDescent="0.3">
      <c r="A12" s="133" t="s">
        <v>15</v>
      </c>
      <c r="B12" s="146" t="s">
        <v>177</v>
      </c>
      <c r="C12" s="94" t="s">
        <v>178</v>
      </c>
      <c r="D12" s="146" t="s">
        <v>297</v>
      </c>
      <c r="E12" s="134">
        <v>0.38500000000000001</v>
      </c>
      <c r="F12" s="135">
        <v>0.38400000000000001</v>
      </c>
      <c r="G12" s="136">
        <v>0.34200000000000003</v>
      </c>
    </row>
    <row r="13" spans="1:7" x14ac:dyDescent="0.3">
      <c r="A13" s="133" t="s">
        <v>290</v>
      </c>
      <c r="B13" s="146" t="s">
        <v>298</v>
      </c>
      <c r="C13" s="94" t="s">
        <v>299</v>
      </c>
      <c r="D13" s="146" t="s">
        <v>300</v>
      </c>
      <c r="E13" s="134">
        <v>0.20799999999999999</v>
      </c>
      <c r="F13" s="135">
        <v>0.20799999999999999</v>
      </c>
      <c r="G13" s="136">
        <v>0.20799999999999999</v>
      </c>
    </row>
    <row r="14" spans="1:7" x14ac:dyDescent="0.3">
      <c r="A14" s="133" t="s">
        <v>17</v>
      </c>
      <c r="B14" s="146" t="s">
        <v>179</v>
      </c>
      <c r="C14" s="94" t="s">
        <v>180</v>
      </c>
      <c r="D14" s="146" t="s">
        <v>301</v>
      </c>
      <c r="E14" s="134">
        <v>0.34200000000000003</v>
      </c>
      <c r="F14" s="135">
        <v>0.34300000000000003</v>
      </c>
      <c r="G14" s="136">
        <v>0.32200000000000001</v>
      </c>
    </row>
    <row r="15" spans="1:7" x14ac:dyDescent="0.3">
      <c r="A15" s="133" t="s">
        <v>17</v>
      </c>
      <c r="B15" s="146" t="s">
        <v>181</v>
      </c>
      <c r="C15" s="94" t="s">
        <v>182</v>
      </c>
      <c r="D15" s="146" t="s">
        <v>302</v>
      </c>
      <c r="E15" s="134">
        <v>0.34200000000000003</v>
      </c>
      <c r="F15" s="135">
        <v>0.34300000000000003</v>
      </c>
      <c r="G15" s="136">
        <v>0.32200000000000001</v>
      </c>
    </row>
    <row r="16" spans="1:7" x14ac:dyDescent="0.3">
      <c r="A16" s="133" t="s">
        <v>17</v>
      </c>
      <c r="B16" s="146" t="s">
        <v>183</v>
      </c>
      <c r="C16" s="94" t="s">
        <v>184</v>
      </c>
      <c r="D16" s="146" t="s">
        <v>303</v>
      </c>
      <c r="E16" s="134">
        <v>0.34200000000000003</v>
      </c>
      <c r="F16" s="135">
        <v>0.34300000000000003</v>
      </c>
      <c r="G16" s="136">
        <v>0.32200000000000001</v>
      </c>
    </row>
    <row r="17" spans="1:7" x14ac:dyDescent="0.3">
      <c r="A17" s="133" t="s">
        <v>21</v>
      </c>
      <c r="B17" s="146" t="s">
        <v>185</v>
      </c>
      <c r="C17" s="94" t="s">
        <v>186</v>
      </c>
      <c r="D17" s="146" t="s">
        <v>304</v>
      </c>
      <c r="E17" s="134">
        <v>0.16800000000000001</v>
      </c>
      <c r="F17" s="135">
        <v>0.16600000000000001</v>
      </c>
      <c r="G17" s="136">
        <v>0.16300000000000001</v>
      </c>
    </row>
    <row r="18" spans="1:7" x14ac:dyDescent="0.3">
      <c r="A18" s="133" t="s">
        <v>19</v>
      </c>
      <c r="B18" s="146" t="s">
        <v>187</v>
      </c>
      <c r="C18" s="94" t="s">
        <v>305</v>
      </c>
      <c r="D18" s="146" t="s">
        <v>306</v>
      </c>
      <c r="E18" s="134">
        <v>0.53200000000000003</v>
      </c>
      <c r="F18" s="135">
        <v>0.52500000000000002</v>
      </c>
      <c r="G18" s="136">
        <v>0.32200000000000001</v>
      </c>
    </row>
    <row r="19" spans="1:7" x14ac:dyDescent="0.3">
      <c r="A19" s="133" t="s">
        <v>21</v>
      </c>
      <c r="B19" s="146" t="s">
        <v>188</v>
      </c>
      <c r="C19" s="94" t="s">
        <v>189</v>
      </c>
      <c r="D19" s="146" t="s">
        <v>307</v>
      </c>
      <c r="E19" s="134">
        <v>0.16800000000000001</v>
      </c>
      <c r="F19" s="135">
        <v>0.16600000000000001</v>
      </c>
      <c r="G19" s="136">
        <v>0.16300000000000001</v>
      </c>
    </row>
    <row r="20" spans="1:7" x14ac:dyDescent="0.3">
      <c r="A20" s="137" t="s">
        <v>190</v>
      </c>
      <c r="B20" s="146" t="s">
        <v>191</v>
      </c>
      <c r="C20" s="94" t="s">
        <v>192</v>
      </c>
      <c r="D20" s="146" t="s">
        <v>308</v>
      </c>
      <c r="E20" s="134">
        <v>0.13400000000000001</v>
      </c>
      <c r="F20" s="135">
        <v>0.13200000000000001</v>
      </c>
      <c r="G20" s="136">
        <v>0.125</v>
      </c>
    </row>
    <row r="21" spans="1:7" x14ac:dyDescent="0.3">
      <c r="A21" s="137" t="s">
        <v>193</v>
      </c>
      <c r="B21" s="146" t="s">
        <v>194</v>
      </c>
      <c r="C21" s="94" t="s">
        <v>195</v>
      </c>
      <c r="D21" s="146" t="s">
        <v>309</v>
      </c>
      <c r="E21" s="134">
        <v>0.154</v>
      </c>
      <c r="F21" s="135">
        <v>0.152</v>
      </c>
      <c r="G21" s="136">
        <v>0.14499999999999999</v>
      </c>
    </row>
    <row r="22" spans="1:7" x14ac:dyDescent="0.3">
      <c r="A22" s="137" t="s">
        <v>196</v>
      </c>
      <c r="B22" s="146" t="s">
        <v>197</v>
      </c>
      <c r="C22" s="94" t="s">
        <v>198</v>
      </c>
      <c r="D22" s="146" t="s">
        <v>310</v>
      </c>
      <c r="E22" s="134">
        <v>0.19400000000000001</v>
      </c>
      <c r="F22" s="135">
        <v>0.192</v>
      </c>
      <c r="G22" s="136">
        <v>0.185</v>
      </c>
    </row>
    <row r="23" spans="1:7" x14ac:dyDescent="0.3">
      <c r="A23" s="137" t="s">
        <v>199</v>
      </c>
      <c r="B23" s="146" t="s">
        <v>200</v>
      </c>
      <c r="C23" s="94" t="s">
        <v>201</v>
      </c>
      <c r="D23" s="146" t="s">
        <v>311</v>
      </c>
      <c r="E23" s="134">
        <v>0.20399999999999999</v>
      </c>
      <c r="F23" s="135">
        <v>0.20200000000000001</v>
      </c>
      <c r="G23" s="136">
        <v>0.19500000000000001</v>
      </c>
    </row>
    <row r="24" spans="1:7" x14ac:dyDescent="0.3">
      <c r="A24" s="137" t="s">
        <v>202</v>
      </c>
      <c r="B24" s="146" t="s">
        <v>203</v>
      </c>
      <c r="C24" s="94" t="s">
        <v>204</v>
      </c>
      <c r="D24" s="146" t="s">
        <v>312</v>
      </c>
      <c r="E24" s="134">
        <v>0.214</v>
      </c>
      <c r="F24" s="135">
        <v>0.21199999999999999</v>
      </c>
      <c r="G24" s="136">
        <v>0.20499999999999999</v>
      </c>
    </row>
    <row r="25" spans="1:7" x14ac:dyDescent="0.3">
      <c r="A25" s="137" t="s">
        <v>205</v>
      </c>
      <c r="B25" s="146" t="s">
        <v>206</v>
      </c>
      <c r="C25" s="94" t="s">
        <v>207</v>
      </c>
      <c r="D25" s="146" t="s">
        <v>313</v>
      </c>
      <c r="E25" s="134">
        <v>0.19400000000000001</v>
      </c>
      <c r="F25" s="135">
        <v>0.192</v>
      </c>
      <c r="G25" s="136">
        <v>0.185</v>
      </c>
    </row>
    <row r="26" spans="1:7" x14ac:dyDescent="0.3">
      <c r="A26" s="137" t="s">
        <v>208</v>
      </c>
      <c r="B26" s="146" t="s">
        <v>209</v>
      </c>
      <c r="C26" s="94" t="s">
        <v>210</v>
      </c>
      <c r="D26" s="146" t="s">
        <v>314</v>
      </c>
      <c r="E26" s="134">
        <v>0.248</v>
      </c>
      <c r="F26" s="135">
        <v>0.246</v>
      </c>
      <c r="G26" s="136">
        <v>0.23899999999999999</v>
      </c>
    </row>
    <row r="27" spans="1:7" x14ac:dyDescent="0.3">
      <c r="A27" s="137" t="s">
        <v>315</v>
      </c>
      <c r="B27" s="146" t="s">
        <v>316</v>
      </c>
      <c r="C27" s="94" t="s">
        <v>317</v>
      </c>
      <c r="D27" s="146" t="s">
        <v>318</v>
      </c>
      <c r="E27" s="134">
        <v>0.19400000000000001</v>
      </c>
      <c r="F27" s="135">
        <v>0.192</v>
      </c>
      <c r="G27" s="136">
        <v>0.185</v>
      </c>
    </row>
    <row r="28" spans="1:7" x14ac:dyDescent="0.3">
      <c r="A28" s="133" t="s">
        <v>21</v>
      </c>
      <c r="B28" s="146" t="s">
        <v>211</v>
      </c>
      <c r="C28" s="94" t="s">
        <v>212</v>
      </c>
      <c r="D28" s="146" t="s">
        <v>319</v>
      </c>
      <c r="E28" s="134">
        <v>0.16800000000000001</v>
      </c>
      <c r="F28" s="135">
        <v>0.16600000000000001</v>
      </c>
      <c r="G28" s="136">
        <v>0.16300000000000001</v>
      </c>
    </row>
    <row r="29" spans="1:7" x14ac:dyDescent="0.3">
      <c r="A29" s="138" t="s">
        <v>15</v>
      </c>
      <c r="B29" s="146" t="s">
        <v>213</v>
      </c>
      <c r="C29" s="94" t="s">
        <v>214</v>
      </c>
      <c r="D29" s="146" t="s">
        <v>320</v>
      </c>
      <c r="E29" s="134">
        <v>0.38500000000000001</v>
      </c>
      <c r="F29" s="135">
        <v>0.38400000000000001</v>
      </c>
      <c r="G29" s="136">
        <v>0.34200000000000003</v>
      </c>
    </row>
    <row r="30" spans="1:7" x14ac:dyDescent="0.3">
      <c r="A30" s="138" t="s">
        <v>15</v>
      </c>
      <c r="B30" s="146" t="s">
        <v>215</v>
      </c>
      <c r="C30" s="94" t="s">
        <v>216</v>
      </c>
      <c r="D30" s="146" t="s">
        <v>321</v>
      </c>
      <c r="E30" s="134">
        <v>0.38500000000000001</v>
      </c>
      <c r="F30" s="135">
        <v>0.38400000000000001</v>
      </c>
      <c r="G30" s="136">
        <v>0.34200000000000003</v>
      </c>
    </row>
    <row r="31" spans="1:7" x14ac:dyDescent="0.3">
      <c r="A31" s="133" t="s">
        <v>21</v>
      </c>
      <c r="B31" s="146" t="s">
        <v>217</v>
      </c>
      <c r="C31" s="94" t="s">
        <v>218</v>
      </c>
      <c r="D31" s="146" t="s">
        <v>322</v>
      </c>
      <c r="E31" s="134">
        <v>0.16800000000000001</v>
      </c>
      <c r="F31" s="135">
        <v>0.16600000000000001</v>
      </c>
      <c r="G31" s="136">
        <v>0.16300000000000001</v>
      </c>
    </row>
    <row r="32" spans="1:7" x14ac:dyDescent="0.3">
      <c r="A32" s="133" t="s">
        <v>21</v>
      </c>
      <c r="B32" s="146" t="s">
        <v>219</v>
      </c>
      <c r="C32" s="94" t="s">
        <v>220</v>
      </c>
      <c r="D32" s="146" t="s">
        <v>323</v>
      </c>
      <c r="E32" s="134">
        <v>0.16800000000000001</v>
      </c>
      <c r="F32" s="135">
        <v>0.16600000000000001</v>
      </c>
      <c r="G32" s="136">
        <v>0.16300000000000001</v>
      </c>
    </row>
    <row r="33" spans="1:7" x14ac:dyDescent="0.3">
      <c r="A33" s="138" t="s">
        <v>21</v>
      </c>
      <c r="B33" s="146" t="s">
        <v>221</v>
      </c>
      <c r="C33" s="94" t="s">
        <v>222</v>
      </c>
      <c r="D33" s="146" t="s">
        <v>324</v>
      </c>
      <c r="E33" s="134">
        <v>0.16800000000000001</v>
      </c>
      <c r="F33" s="135">
        <v>0.16600000000000001</v>
      </c>
      <c r="G33" s="136">
        <v>0.16300000000000001</v>
      </c>
    </row>
    <row r="34" spans="1:7" x14ac:dyDescent="0.3">
      <c r="A34" s="138" t="s">
        <v>17</v>
      </c>
      <c r="B34" s="146" t="s">
        <v>223</v>
      </c>
      <c r="C34" s="94" t="s">
        <v>224</v>
      </c>
      <c r="D34" s="146" t="s">
        <v>325</v>
      </c>
      <c r="E34" s="134">
        <v>0.34200000000000003</v>
      </c>
      <c r="F34" s="135">
        <v>0.34300000000000003</v>
      </c>
      <c r="G34" s="136">
        <v>0.32200000000000001</v>
      </c>
    </row>
    <row r="35" spans="1:7" x14ac:dyDescent="0.3">
      <c r="A35" s="138" t="s">
        <v>21</v>
      </c>
      <c r="B35" s="146" t="s">
        <v>225</v>
      </c>
      <c r="C35" s="94" t="s">
        <v>226</v>
      </c>
      <c r="D35" s="146" t="s">
        <v>326</v>
      </c>
      <c r="E35" s="134">
        <v>0.16800000000000001</v>
      </c>
      <c r="F35" s="135">
        <v>0.16600000000000001</v>
      </c>
      <c r="G35" s="136">
        <v>0.16300000000000001</v>
      </c>
    </row>
    <row r="36" spans="1:7" x14ac:dyDescent="0.3">
      <c r="A36" s="138" t="s">
        <v>27</v>
      </c>
      <c r="B36" s="146" t="s">
        <v>227</v>
      </c>
      <c r="C36" s="94" t="s">
        <v>228</v>
      </c>
      <c r="D36" s="146" t="s">
        <v>327</v>
      </c>
      <c r="E36" s="134">
        <v>0.125</v>
      </c>
      <c r="F36" s="135">
        <v>0.12</v>
      </c>
      <c r="G36" s="136">
        <v>0.105</v>
      </c>
    </row>
    <row r="37" spans="1:7" x14ac:dyDescent="0.3">
      <c r="A37" s="138" t="s">
        <v>27</v>
      </c>
      <c r="B37" s="146" t="s">
        <v>229</v>
      </c>
      <c r="C37" s="94" t="s">
        <v>230</v>
      </c>
      <c r="D37" s="146" t="s">
        <v>328</v>
      </c>
      <c r="E37" s="134">
        <v>0.125</v>
      </c>
      <c r="F37" s="135">
        <v>0.12</v>
      </c>
      <c r="G37" s="136">
        <v>0.105</v>
      </c>
    </row>
    <row r="38" spans="1:7" x14ac:dyDescent="0.3">
      <c r="A38" s="138" t="s">
        <v>27</v>
      </c>
      <c r="B38" s="146" t="s">
        <v>231</v>
      </c>
      <c r="C38" s="94" t="s">
        <v>232</v>
      </c>
      <c r="D38" s="146" t="s">
        <v>329</v>
      </c>
      <c r="E38" s="134">
        <v>0.125</v>
      </c>
      <c r="F38" s="135">
        <v>0.12</v>
      </c>
      <c r="G38" s="136">
        <v>0.105</v>
      </c>
    </row>
    <row r="39" spans="1:7" x14ac:dyDescent="0.3">
      <c r="A39" s="138" t="s">
        <v>15</v>
      </c>
      <c r="B39" s="146" t="s">
        <v>330</v>
      </c>
      <c r="C39" s="94" t="s">
        <v>331</v>
      </c>
      <c r="D39" s="146" t="s">
        <v>332</v>
      </c>
      <c r="E39" s="134">
        <v>0.38500000000000001</v>
      </c>
      <c r="F39" s="135">
        <v>0.38400000000000001</v>
      </c>
      <c r="G39" s="136">
        <v>0.34200000000000003</v>
      </c>
    </row>
    <row r="40" spans="1:7" x14ac:dyDescent="0.3">
      <c r="A40" s="138" t="s">
        <v>15</v>
      </c>
      <c r="B40" s="146" t="s">
        <v>333</v>
      </c>
      <c r="C40" s="94" t="s">
        <v>334</v>
      </c>
      <c r="D40" s="146" t="s">
        <v>335</v>
      </c>
      <c r="E40" s="134">
        <v>0.38500000000000001</v>
      </c>
      <c r="F40" s="135">
        <v>0.38400000000000001</v>
      </c>
      <c r="G40" s="136">
        <v>0.34200000000000003</v>
      </c>
    </row>
    <row r="41" spans="1:7" x14ac:dyDescent="0.3">
      <c r="A41" s="138" t="s">
        <v>17</v>
      </c>
      <c r="B41" s="146" t="s">
        <v>336</v>
      </c>
      <c r="C41" s="94" t="s">
        <v>337</v>
      </c>
      <c r="D41" s="146" t="s">
        <v>338</v>
      </c>
      <c r="E41" s="134">
        <v>0.34200000000000003</v>
      </c>
      <c r="F41" s="135">
        <v>0.34300000000000003</v>
      </c>
      <c r="G41" s="136">
        <v>0.32200000000000001</v>
      </c>
    </row>
    <row r="42" spans="1:7" x14ac:dyDescent="0.3">
      <c r="A42" s="138" t="s">
        <v>19</v>
      </c>
      <c r="B42" s="146" t="s">
        <v>339</v>
      </c>
      <c r="C42" s="94" t="s">
        <v>340</v>
      </c>
      <c r="D42" s="146" t="s">
        <v>341</v>
      </c>
      <c r="E42" s="134">
        <v>0.53200000000000003</v>
      </c>
      <c r="F42" s="135">
        <v>0.52500000000000002</v>
      </c>
      <c r="G42" s="136">
        <v>0.32200000000000001</v>
      </c>
    </row>
    <row r="43" spans="1:7" x14ac:dyDescent="0.3">
      <c r="A43" s="138" t="s">
        <v>15</v>
      </c>
      <c r="B43" s="146" t="s">
        <v>342</v>
      </c>
      <c r="C43" s="94" t="s">
        <v>343</v>
      </c>
      <c r="D43" s="146" t="s">
        <v>344</v>
      </c>
      <c r="E43" s="134">
        <v>0.38500000000000001</v>
      </c>
      <c r="F43" s="135">
        <v>0.38400000000000001</v>
      </c>
      <c r="G43" s="136">
        <v>0.34200000000000003</v>
      </c>
    </row>
    <row r="44" spans="1:7" x14ac:dyDescent="0.3">
      <c r="A44" s="138" t="s">
        <v>23</v>
      </c>
      <c r="B44" s="146" t="s">
        <v>233</v>
      </c>
      <c r="C44" s="94" t="s">
        <v>234</v>
      </c>
      <c r="D44" s="146" t="s">
        <v>345</v>
      </c>
      <c r="E44" s="134">
        <v>1.2E-2</v>
      </c>
      <c r="F44" s="135">
        <v>1.0999999999999999E-2</v>
      </c>
      <c r="G44" s="136">
        <v>8.9999999999999993E-3</v>
      </c>
    </row>
    <row r="45" spans="1:7" x14ac:dyDescent="0.3">
      <c r="A45" s="138" t="s">
        <v>23</v>
      </c>
      <c r="B45" s="146" t="s">
        <v>235</v>
      </c>
      <c r="C45" s="94" t="s">
        <v>236</v>
      </c>
      <c r="D45" s="146" t="s">
        <v>346</v>
      </c>
      <c r="E45" s="134">
        <v>1.2E-2</v>
      </c>
      <c r="F45" s="135">
        <v>1.0999999999999999E-2</v>
      </c>
      <c r="G45" s="136">
        <v>8.9999999999999993E-3</v>
      </c>
    </row>
    <row r="46" spans="1:7" x14ac:dyDescent="0.3">
      <c r="A46" s="138" t="s">
        <v>23</v>
      </c>
      <c r="B46" s="146" t="s">
        <v>237</v>
      </c>
      <c r="C46" s="94" t="s">
        <v>238</v>
      </c>
      <c r="D46" s="146" t="s">
        <v>347</v>
      </c>
      <c r="E46" s="134">
        <v>1.2E-2</v>
      </c>
      <c r="F46" s="135">
        <v>1.0999999999999999E-2</v>
      </c>
      <c r="G46" s="136">
        <v>8.9999999999999993E-3</v>
      </c>
    </row>
    <row r="47" spans="1:7" x14ac:dyDescent="0.3">
      <c r="A47" s="138" t="s">
        <v>23</v>
      </c>
      <c r="B47" s="146" t="s">
        <v>348</v>
      </c>
      <c r="C47" s="94" t="s">
        <v>239</v>
      </c>
      <c r="D47" s="146" t="s">
        <v>349</v>
      </c>
      <c r="E47" s="134">
        <v>1.2E-2</v>
      </c>
      <c r="F47" s="135">
        <v>1.0999999999999999E-2</v>
      </c>
      <c r="G47" s="136">
        <v>8.9999999999999993E-3</v>
      </c>
    </row>
    <row r="48" spans="1:7" x14ac:dyDescent="0.3">
      <c r="A48" s="138" t="s">
        <v>21</v>
      </c>
      <c r="B48" s="146" t="s">
        <v>240</v>
      </c>
      <c r="C48" s="94" t="s">
        <v>241</v>
      </c>
      <c r="D48" s="146" t="s">
        <v>350</v>
      </c>
      <c r="E48" s="134">
        <v>0.16800000000000001</v>
      </c>
      <c r="F48" s="135">
        <v>0.16600000000000001</v>
      </c>
      <c r="G48" s="136">
        <v>0.16300000000000001</v>
      </c>
    </row>
    <row r="49" spans="1:7" x14ac:dyDescent="0.3">
      <c r="A49" s="138" t="s">
        <v>21</v>
      </c>
      <c r="B49" s="146" t="s">
        <v>242</v>
      </c>
      <c r="C49" s="94" t="s">
        <v>243</v>
      </c>
      <c r="D49" s="146" t="s">
        <v>351</v>
      </c>
      <c r="E49" s="134">
        <v>0.16800000000000001</v>
      </c>
      <c r="F49" s="135">
        <v>0.16600000000000001</v>
      </c>
      <c r="G49" s="136">
        <v>0.16300000000000001</v>
      </c>
    </row>
    <row r="50" spans="1:7" x14ac:dyDescent="0.3">
      <c r="A50" s="138" t="s">
        <v>21</v>
      </c>
      <c r="B50" s="146" t="s">
        <v>244</v>
      </c>
      <c r="C50" s="94" t="s">
        <v>245</v>
      </c>
      <c r="D50" s="146" t="s">
        <v>352</v>
      </c>
      <c r="E50" s="134">
        <v>0.16800000000000001</v>
      </c>
      <c r="F50" s="135">
        <v>0.16600000000000001</v>
      </c>
      <c r="G50" s="136">
        <v>0.16300000000000001</v>
      </c>
    </row>
    <row r="51" spans="1:7" x14ac:dyDescent="0.3">
      <c r="A51" s="138" t="s">
        <v>23</v>
      </c>
      <c r="B51" s="146" t="s">
        <v>246</v>
      </c>
      <c r="C51" s="94" t="s">
        <v>247</v>
      </c>
      <c r="D51" s="146" t="s">
        <v>353</v>
      </c>
      <c r="E51" s="134">
        <v>1.2E-2</v>
      </c>
      <c r="F51" s="135">
        <v>1.0999999999999999E-2</v>
      </c>
      <c r="G51" s="136">
        <v>8.9999999999999993E-3</v>
      </c>
    </row>
    <row r="52" spans="1:7" x14ac:dyDescent="0.3">
      <c r="A52" s="138" t="s">
        <v>23</v>
      </c>
      <c r="B52" s="146" t="s">
        <v>248</v>
      </c>
      <c r="C52" s="94" t="s">
        <v>249</v>
      </c>
      <c r="D52" s="146" t="s">
        <v>354</v>
      </c>
      <c r="E52" s="134">
        <v>1.2E-2</v>
      </c>
      <c r="F52" s="135">
        <v>1.0999999999999999E-2</v>
      </c>
      <c r="G52" s="136">
        <v>8.9999999999999993E-3</v>
      </c>
    </row>
    <row r="53" spans="1:7" x14ac:dyDescent="0.3">
      <c r="A53" s="138" t="s">
        <v>21</v>
      </c>
      <c r="B53" s="146" t="s">
        <v>250</v>
      </c>
      <c r="C53" s="94" t="s">
        <v>251</v>
      </c>
      <c r="D53" s="146" t="s">
        <v>355</v>
      </c>
      <c r="E53" s="134">
        <v>0.16800000000000001</v>
      </c>
      <c r="F53" s="135">
        <v>0.16600000000000001</v>
      </c>
      <c r="G53" s="136">
        <v>0.16300000000000001</v>
      </c>
    </row>
    <row r="54" spans="1:7" x14ac:dyDescent="0.3">
      <c r="A54" s="138" t="s">
        <v>23</v>
      </c>
      <c r="B54" s="146" t="s">
        <v>263</v>
      </c>
      <c r="C54" s="94" t="s">
        <v>252</v>
      </c>
      <c r="D54" s="146" t="s">
        <v>356</v>
      </c>
      <c r="E54" s="134">
        <v>1.2E-2</v>
      </c>
      <c r="F54" s="135">
        <v>1.0999999999999999E-2</v>
      </c>
      <c r="G54" s="136">
        <v>8.9999999999999993E-3</v>
      </c>
    </row>
    <row r="55" spans="1:7" x14ac:dyDescent="0.3">
      <c r="A55" s="138" t="s">
        <v>21</v>
      </c>
      <c r="B55" s="146" t="s">
        <v>253</v>
      </c>
      <c r="C55" s="94" t="s">
        <v>254</v>
      </c>
      <c r="D55" s="146" t="s">
        <v>357</v>
      </c>
      <c r="E55" s="134">
        <v>0.16800000000000001</v>
      </c>
      <c r="F55" s="135">
        <v>0.16600000000000001</v>
      </c>
      <c r="G55" s="136">
        <v>0.16300000000000001</v>
      </c>
    </row>
    <row r="56" spans="1:7" x14ac:dyDescent="0.3">
      <c r="A56" s="138" t="s">
        <v>27</v>
      </c>
      <c r="B56" s="146" t="s">
        <v>264</v>
      </c>
      <c r="C56" s="94" t="s">
        <v>255</v>
      </c>
      <c r="D56" s="146" t="s">
        <v>358</v>
      </c>
      <c r="E56" s="134">
        <v>0.125</v>
      </c>
      <c r="F56" s="135">
        <v>0.12</v>
      </c>
      <c r="G56" s="136">
        <v>0.105</v>
      </c>
    </row>
    <row r="57" spans="1:7" x14ac:dyDescent="0.3">
      <c r="A57" s="138" t="s">
        <v>27</v>
      </c>
      <c r="B57" s="146" t="s">
        <v>256</v>
      </c>
      <c r="C57" s="94" t="s">
        <v>257</v>
      </c>
      <c r="D57" s="146" t="s">
        <v>359</v>
      </c>
      <c r="E57" s="134">
        <v>0.125</v>
      </c>
      <c r="F57" s="135">
        <v>0.12</v>
      </c>
      <c r="G57" s="136">
        <v>0.105</v>
      </c>
    </row>
    <row r="58" spans="1:7" x14ac:dyDescent="0.3">
      <c r="A58" s="138" t="s">
        <v>27</v>
      </c>
      <c r="B58" s="146" t="s">
        <v>265</v>
      </c>
      <c r="C58" s="94" t="s">
        <v>258</v>
      </c>
      <c r="D58" s="146" t="s">
        <v>360</v>
      </c>
      <c r="E58" s="134">
        <v>0.125</v>
      </c>
      <c r="F58" s="135">
        <v>0.12</v>
      </c>
      <c r="G58" s="136">
        <v>0.105</v>
      </c>
    </row>
    <row r="59" spans="1:7" x14ac:dyDescent="0.3">
      <c r="A59" s="138" t="s">
        <v>27</v>
      </c>
      <c r="B59" s="146">
        <v>65202</v>
      </c>
      <c r="C59" s="94" t="s">
        <v>259</v>
      </c>
      <c r="D59" s="146" t="s">
        <v>361</v>
      </c>
      <c r="E59" s="134">
        <v>0.125</v>
      </c>
      <c r="F59" s="135">
        <v>0.12</v>
      </c>
      <c r="G59" s="136">
        <v>0.105</v>
      </c>
    </row>
    <row r="60" spans="1:7" x14ac:dyDescent="0.3">
      <c r="A60" s="138" t="s">
        <v>27</v>
      </c>
      <c r="B60" s="146">
        <v>65203</v>
      </c>
      <c r="C60" s="94" t="s">
        <v>260</v>
      </c>
      <c r="D60" s="146" t="s">
        <v>362</v>
      </c>
      <c r="E60" s="134">
        <v>0.125</v>
      </c>
      <c r="F60" s="135">
        <v>0.12</v>
      </c>
      <c r="G60" s="136">
        <v>0.105</v>
      </c>
    </row>
    <row r="61" spans="1:7" ht="15.75" thickBot="1" x14ac:dyDescent="0.35">
      <c r="A61" s="137" t="s">
        <v>25</v>
      </c>
      <c r="B61" s="146" t="s">
        <v>261</v>
      </c>
      <c r="C61" s="94" t="s">
        <v>262</v>
      </c>
      <c r="D61" s="146" t="s">
        <v>363</v>
      </c>
      <c r="E61" s="139">
        <v>3.6999999999999998E-2</v>
      </c>
      <c r="F61" s="140">
        <v>4.9000000000000002E-2</v>
      </c>
      <c r="G61" s="141">
        <v>2.9000000000000001E-2</v>
      </c>
    </row>
    <row r="62" spans="1:7" ht="15.75" thickTop="1" x14ac:dyDescent="0.3">
      <c r="E62" s="132"/>
      <c r="F62" s="132"/>
      <c r="G62" s="132"/>
    </row>
    <row r="63" spans="1:7" x14ac:dyDescent="0.3">
      <c r="E63" s="132"/>
      <c r="F63" s="132"/>
      <c r="G63" s="132"/>
    </row>
    <row r="64" spans="1:7" x14ac:dyDescent="0.3">
      <c r="E64" s="132"/>
      <c r="F64" s="132"/>
      <c r="G64" s="132"/>
    </row>
    <row r="65" spans="5:7" x14ac:dyDescent="0.3">
      <c r="E65" s="132"/>
      <c r="F65" s="132"/>
      <c r="G65" s="132"/>
    </row>
    <row r="66" spans="5:7" x14ac:dyDescent="0.3">
      <c r="E66" s="132"/>
      <c r="F66" s="132"/>
      <c r="G66" s="132"/>
    </row>
    <row r="67" spans="5:7" x14ac:dyDescent="0.3">
      <c r="E67" s="132"/>
      <c r="F67" s="132"/>
      <c r="G67" s="132"/>
    </row>
    <row r="68" spans="5:7" x14ac:dyDescent="0.3">
      <c r="E68" s="132"/>
      <c r="F68" s="132"/>
      <c r="G68" s="132"/>
    </row>
    <row r="69" spans="5:7" x14ac:dyDescent="0.3">
      <c r="E69" s="132"/>
      <c r="F69" s="132"/>
      <c r="G69" s="132"/>
    </row>
    <row r="70" spans="5:7" x14ac:dyDescent="0.3">
      <c r="E70" s="132"/>
      <c r="F70" s="132"/>
      <c r="G70" s="132"/>
    </row>
    <row r="71" spans="5:7" x14ac:dyDescent="0.3">
      <c r="E71" s="132"/>
      <c r="F71" s="132"/>
      <c r="G71" s="132"/>
    </row>
    <row r="72" spans="5:7" x14ac:dyDescent="0.3">
      <c r="E72" s="132"/>
      <c r="F72" s="132"/>
      <c r="G72" s="132"/>
    </row>
    <row r="73" spans="5:7" x14ac:dyDescent="0.3">
      <c r="E73" s="132"/>
      <c r="F73" s="132"/>
      <c r="G73" s="132"/>
    </row>
    <row r="74" spans="5:7" x14ac:dyDescent="0.3">
      <c r="E74" s="132"/>
      <c r="F74" s="132"/>
      <c r="G74" s="132"/>
    </row>
    <row r="75" spans="5:7" x14ac:dyDescent="0.3">
      <c r="E75" s="132"/>
      <c r="F75" s="132"/>
      <c r="G75" s="132"/>
    </row>
    <row r="76" spans="5:7" x14ac:dyDescent="0.3">
      <c r="E76" s="132"/>
      <c r="F76" s="132"/>
      <c r="G76" s="132"/>
    </row>
    <row r="77" spans="5:7" x14ac:dyDescent="0.3">
      <c r="E77" s="132"/>
      <c r="F77" s="132"/>
      <c r="G77" s="132"/>
    </row>
    <row r="78" spans="5:7" x14ac:dyDescent="0.3">
      <c r="E78" s="132"/>
      <c r="F78" s="132"/>
      <c r="G78" s="132"/>
    </row>
    <row r="79" spans="5:7" x14ac:dyDescent="0.3">
      <c r="E79" s="132"/>
      <c r="F79" s="132"/>
      <c r="G79" s="132"/>
    </row>
    <row r="80" spans="5:7" x14ac:dyDescent="0.3">
      <c r="E80" s="132"/>
      <c r="F80" s="132"/>
      <c r="G80" s="132"/>
    </row>
    <row r="81" spans="5:7" x14ac:dyDescent="0.3">
      <c r="E81" s="132"/>
      <c r="F81" s="132"/>
      <c r="G81" s="132"/>
    </row>
    <row r="82" spans="5:7" x14ac:dyDescent="0.3">
      <c r="E82" s="132"/>
      <c r="F82" s="132"/>
      <c r="G82" s="132"/>
    </row>
    <row r="83" spans="5:7" x14ac:dyDescent="0.3">
      <c r="E83" s="132"/>
      <c r="F83" s="132"/>
      <c r="G83" s="132"/>
    </row>
  </sheetData>
  <mergeCells count="1">
    <mergeCell ref="E3:G3"/>
  </mergeCell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pane ySplit="5" topLeftCell="A6" activePane="bottomLeft" state="frozen"/>
      <selection pane="bottomLeft" activeCell="I48" sqref="I48"/>
    </sheetView>
  </sheetViews>
  <sheetFormatPr defaultRowHeight="15" x14ac:dyDescent="0.3"/>
  <cols>
    <col min="1" max="1" width="12.28515625" style="128" bestFit="1" customWidth="1"/>
    <col min="2" max="2" width="14.85546875" style="128" customWidth="1"/>
    <col min="3" max="3" width="30.42578125" style="128" customWidth="1"/>
    <col min="4" max="4" width="13.5703125" style="128" customWidth="1"/>
    <col min="5" max="7" width="18.140625" style="128" customWidth="1"/>
    <col min="8" max="9" width="10.28515625" style="128" customWidth="1"/>
    <col min="10" max="10" width="22" style="128" customWidth="1"/>
    <col min="11" max="251" width="10.28515625" style="128" customWidth="1"/>
    <col min="252" max="16384" width="9.140625" style="128"/>
  </cols>
  <sheetData>
    <row r="1" spans="1:11" x14ac:dyDescent="0.3">
      <c r="A1" s="142" t="s">
        <v>370</v>
      </c>
      <c r="B1" s="132"/>
      <c r="D1" s="132"/>
    </row>
    <row r="2" spans="1:11" x14ac:dyDescent="0.3">
      <c r="A2" s="142"/>
      <c r="B2" s="132"/>
      <c r="D2" s="132"/>
    </row>
    <row r="3" spans="1:11" x14ac:dyDescent="0.3">
      <c r="B3" s="132"/>
      <c r="D3" s="132"/>
      <c r="E3" s="129" t="s">
        <v>281</v>
      </c>
      <c r="F3" s="130"/>
      <c r="G3" s="131"/>
    </row>
    <row r="4" spans="1:11" x14ac:dyDescent="0.3">
      <c r="A4" s="143" t="s">
        <v>380</v>
      </c>
      <c r="B4" s="143" t="s">
        <v>73</v>
      </c>
      <c r="C4" s="142"/>
      <c r="D4" s="143" t="s">
        <v>76</v>
      </c>
      <c r="E4" s="143" t="s">
        <v>366</v>
      </c>
      <c r="F4" s="143" t="s">
        <v>366</v>
      </c>
      <c r="G4" s="143" t="s">
        <v>366</v>
      </c>
    </row>
    <row r="5" spans="1:11" ht="15.75" thickBot="1" x14ac:dyDescent="0.35">
      <c r="A5" s="144" t="s">
        <v>378</v>
      </c>
      <c r="B5" s="144" t="s">
        <v>364</v>
      </c>
      <c r="C5" s="145" t="s">
        <v>168</v>
      </c>
      <c r="D5" s="144" t="s">
        <v>364</v>
      </c>
      <c r="E5" s="144" t="s">
        <v>367</v>
      </c>
      <c r="F5" s="144" t="s">
        <v>368</v>
      </c>
      <c r="G5" s="144" t="s">
        <v>369</v>
      </c>
    </row>
    <row r="6" spans="1:11" x14ac:dyDescent="0.3">
      <c r="A6" s="133" t="s">
        <v>14</v>
      </c>
      <c r="B6" s="94" t="s">
        <v>169</v>
      </c>
      <c r="C6" s="94" t="s">
        <v>170</v>
      </c>
      <c r="D6" s="94" t="s">
        <v>286</v>
      </c>
      <c r="E6" s="134">
        <v>0.23</v>
      </c>
      <c r="F6" s="135">
        <v>0.23200000000000001</v>
      </c>
      <c r="G6" s="136">
        <v>0.26800000000000002</v>
      </c>
    </row>
    <row r="7" spans="1:11" x14ac:dyDescent="0.3">
      <c r="A7" s="133" t="s">
        <v>14</v>
      </c>
      <c r="B7" s="94" t="s">
        <v>287</v>
      </c>
      <c r="C7" s="94" t="s">
        <v>171</v>
      </c>
      <c r="D7" s="94" t="s">
        <v>288</v>
      </c>
      <c r="E7" s="134">
        <v>0.23</v>
      </c>
      <c r="F7" s="135">
        <v>0.23200000000000001</v>
      </c>
      <c r="G7" s="136">
        <v>0.26800000000000002</v>
      </c>
    </row>
    <row r="8" spans="1:11" x14ac:dyDescent="0.3">
      <c r="A8" s="133" t="s">
        <v>14</v>
      </c>
      <c r="B8" s="94" t="s">
        <v>172</v>
      </c>
      <c r="C8" s="94" t="s">
        <v>173</v>
      </c>
      <c r="D8" s="94" t="s">
        <v>289</v>
      </c>
      <c r="E8" s="134">
        <v>0.23</v>
      </c>
      <c r="F8" s="135">
        <v>0.23200000000000001</v>
      </c>
      <c r="G8" s="136">
        <v>0.26800000000000002</v>
      </c>
      <c r="K8" s="147"/>
    </row>
    <row r="9" spans="1:11" x14ac:dyDescent="0.3">
      <c r="A9" s="133" t="s">
        <v>290</v>
      </c>
      <c r="B9" s="94" t="s">
        <v>291</v>
      </c>
      <c r="C9" s="94" t="s">
        <v>292</v>
      </c>
      <c r="D9" s="94" t="s">
        <v>293</v>
      </c>
      <c r="E9" s="134">
        <v>0.12</v>
      </c>
      <c r="F9" s="135">
        <v>0.127</v>
      </c>
      <c r="G9" s="136">
        <v>0.157</v>
      </c>
      <c r="K9" s="147"/>
    </row>
    <row r="10" spans="1:11" x14ac:dyDescent="0.3">
      <c r="A10" s="133" t="s">
        <v>14</v>
      </c>
      <c r="B10" s="94" t="s">
        <v>174</v>
      </c>
      <c r="C10" s="94" t="s">
        <v>175</v>
      </c>
      <c r="D10" s="94" t="s">
        <v>294</v>
      </c>
      <c r="E10" s="134">
        <v>0.23</v>
      </c>
      <c r="F10" s="135">
        <v>0.23200000000000001</v>
      </c>
      <c r="G10" s="136">
        <v>0.26800000000000002</v>
      </c>
      <c r="K10" s="147"/>
    </row>
    <row r="11" spans="1:11" x14ac:dyDescent="0.3">
      <c r="A11" s="133" t="s">
        <v>14</v>
      </c>
      <c r="B11" s="94" t="s">
        <v>295</v>
      </c>
      <c r="C11" s="94" t="s">
        <v>176</v>
      </c>
      <c r="D11" s="94" t="s">
        <v>296</v>
      </c>
      <c r="E11" s="134">
        <v>0.23</v>
      </c>
      <c r="F11" s="135">
        <v>0.23200000000000001</v>
      </c>
      <c r="G11" s="136">
        <v>0.26800000000000002</v>
      </c>
      <c r="K11" s="147"/>
    </row>
    <row r="12" spans="1:11" x14ac:dyDescent="0.3">
      <c r="A12" s="133" t="s">
        <v>14</v>
      </c>
      <c r="B12" s="94" t="s">
        <v>177</v>
      </c>
      <c r="C12" s="94" t="s">
        <v>178</v>
      </c>
      <c r="D12" s="94" t="s">
        <v>297</v>
      </c>
      <c r="E12" s="134">
        <v>0.23</v>
      </c>
      <c r="F12" s="135">
        <v>0.23200000000000001</v>
      </c>
      <c r="G12" s="136">
        <v>0.26800000000000002</v>
      </c>
      <c r="K12" s="147"/>
    </row>
    <row r="13" spans="1:11" x14ac:dyDescent="0.3">
      <c r="A13" s="133" t="s">
        <v>290</v>
      </c>
      <c r="B13" s="94" t="s">
        <v>298</v>
      </c>
      <c r="C13" s="94" t="s">
        <v>299</v>
      </c>
      <c r="D13" s="94" t="s">
        <v>300</v>
      </c>
      <c r="E13" s="134">
        <v>0.12</v>
      </c>
      <c r="F13" s="135">
        <v>0.127</v>
      </c>
      <c r="G13" s="136">
        <v>0.157</v>
      </c>
    </row>
    <row r="14" spans="1:11" x14ac:dyDescent="0.3">
      <c r="A14" s="133" t="s">
        <v>16</v>
      </c>
      <c r="B14" s="94" t="s">
        <v>179</v>
      </c>
      <c r="C14" s="94" t="s">
        <v>180</v>
      </c>
      <c r="D14" s="94" t="s">
        <v>301</v>
      </c>
      <c r="E14" s="134">
        <v>0.35399999999999998</v>
      </c>
      <c r="F14" s="135">
        <v>0.33400000000000002</v>
      </c>
      <c r="G14" s="136">
        <v>0.316</v>
      </c>
    </row>
    <row r="15" spans="1:11" x14ac:dyDescent="0.3">
      <c r="A15" s="133" t="s">
        <v>16</v>
      </c>
      <c r="B15" s="94" t="s">
        <v>181</v>
      </c>
      <c r="C15" s="94" t="s">
        <v>182</v>
      </c>
      <c r="D15" s="94" t="s">
        <v>302</v>
      </c>
      <c r="E15" s="134">
        <v>0.35399999999999998</v>
      </c>
      <c r="F15" s="135">
        <v>0.33400000000000002</v>
      </c>
      <c r="G15" s="136">
        <v>0.316</v>
      </c>
    </row>
    <row r="16" spans="1:11" x14ac:dyDescent="0.3">
      <c r="A16" s="133" t="s">
        <v>16</v>
      </c>
      <c r="B16" s="94" t="s">
        <v>183</v>
      </c>
      <c r="C16" s="94" t="s">
        <v>184</v>
      </c>
      <c r="D16" s="94" t="s">
        <v>303</v>
      </c>
      <c r="E16" s="134">
        <v>0.35399999999999998</v>
      </c>
      <c r="F16" s="135">
        <v>0.33400000000000002</v>
      </c>
      <c r="G16" s="136">
        <v>0.316</v>
      </c>
    </row>
    <row r="17" spans="1:7" x14ac:dyDescent="0.3">
      <c r="A17" s="133" t="s">
        <v>20</v>
      </c>
      <c r="B17" s="94" t="s">
        <v>185</v>
      </c>
      <c r="C17" s="94" t="s">
        <v>186</v>
      </c>
      <c r="D17" s="94" t="s">
        <v>304</v>
      </c>
      <c r="E17" s="134">
        <v>0.12</v>
      </c>
      <c r="F17" s="135">
        <v>0.127</v>
      </c>
      <c r="G17" s="136">
        <v>0.157</v>
      </c>
    </row>
    <row r="18" spans="1:7" x14ac:dyDescent="0.3">
      <c r="A18" s="133" t="s">
        <v>18</v>
      </c>
      <c r="B18" s="94" t="s">
        <v>187</v>
      </c>
      <c r="C18" s="94" t="s">
        <v>305</v>
      </c>
      <c r="D18" s="94" t="s">
        <v>306</v>
      </c>
      <c r="E18" s="134">
        <v>0.46100000000000002</v>
      </c>
      <c r="F18" s="135">
        <v>0.441</v>
      </c>
      <c r="G18" s="136">
        <v>0.316</v>
      </c>
    </row>
    <row r="19" spans="1:7" x14ac:dyDescent="0.3">
      <c r="A19" s="133" t="s">
        <v>20</v>
      </c>
      <c r="B19" s="94" t="s">
        <v>188</v>
      </c>
      <c r="C19" s="94" t="s">
        <v>189</v>
      </c>
      <c r="D19" s="94" t="s">
        <v>307</v>
      </c>
      <c r="E19" s="134">
        <v>0.12</v>
      </c>
      <c r="F19" s="135">
        <v>0.127</v>
      </c>
      <c r="G19" s="136">
        <v>0.157</v>
      </c>
    </row>
    <row r="20" spans="1:7" x14ac:dyDescent="0.3">
      <c r="A20" s="137" t="s">
        <v>190</v>
      </c>
      <c r="B20" s="94" t="s">
        <v>191</v>
      </c>
      <c r="C20" s="94" t="s">
        <v>192</v>
      </c>
      <c r="D20" s="94" t="s">
        <v>308</v>
      </c>
      <c r="E20" s="134">
        <v>0.12</v>
      </c>
      <c r="F20" s="135">
        <v>0.127</v>
      </c>
      <c r="G20" s="136">
        <v>0.157</v>
      </c>
    </row>
    <row r="21" spans="1:7" x14ac:dyDescent="0.3">
      <c r="A21" s="137" t="s">
        <v>193</v>
      </c>
      <c r="B21" s="94" t="s">
        <v>194</v>
      </c>
      <c r="C21" s="94" t="s">
        <v>195</v>
      </c>
      <c r="D21" s="94" t="s">
        <v>309</v>
      </c>
      <c r="E21" s="134">
        <v>0.12</v>
      </c>
      <c r="F21" s="135">
        <v>0.127</v>
      </c>
      <c r="G21" s="136">
        <v>0.157</v>
      </c>
    </row>
    <row r="22" spans="1:7" x14ac:dyDescent="0.3">
      <c r="A22" s="137" t="s">
        <v>196</v>
      </c>
      <c r="B22" s="94" t="s">
        <v>197</v>
      </c>
      <c r="C22" s="94" t="s">
        <v>198</v>
      </c>
      <c r="D22" s="94" t="s">
        <v>310</v>
      </c>
      <c r="E22" s="134">
        <v>0.12</v>
      </c>
      <c r="F22" s="135">
        <v>0.127</v>
      </c>
      <c r="G22" s="136">
        <v>0.157</v>
      </c>
    </row>
    <row r="23" spans="1:7" x14ac:dyDescent="0.3">
      <c r="A23" s="137" t="s">
        <v>199</v>
      </c>
      <c r="B23" s="94" t="s">
        <v>200</v>
      </c>
      <c r="C23" s="94" t="s">
        <v>201</v>
      </c>
      <c r="D23" s="94" t="s">
        <v>311</v>
      </c>
      <c r="E23" s="134">
        <v>0.12</v>
      </c>
      <c r="F23" s="135">
        <v>0.127</v>
      </c>
      <c r="G23" s="136">
        <v>0.157</v>
      </c>
    </row>
    <row r="24" spans="1:7" x14ac:dyDescent="0.3">
      <c r="A24" s="137" t="s">
        <v>202</v>
      </c>
      <c r="B24" s="94" t="s">
        <v>203</v>
      </c>
      <c r="C24" s="94" t="s">
        <v>204</v>
      </c>
      <c r="D24" s="94" t="s">
        <v>312</v>
      </c>
      <c r="E24" s="134">
        <v>0.12</v>
      </c>
      <c r="F24" s="135">
        <v>0.127</v>
      </c>
      <c r="G24" s="136">
        <v>0.157</v>
      </c>
    </row>
    <row r="25" spans="1:7" x14ac:dyDescent="0.3">
      <c r="A25" s="137" t="s">
        <v>205</v>
      </c>
      <c r="B25" s="94" t="s">
        <v>206</v>
      </c>
      <c r="C25" s="94" t="s">
        <v>207</v>
      </c>
      <c r="D25" s="94" t="s">
        <v>313</v>
      </c>
      <c r="E25" s="134">
        <v>0.12</v>
      </c>
      <c r="F25" s="135">
        <v>0.127</v>
      </c>
      <c r="G25" s="136">
        <v>0.157</v>
      </c>
    </row>
    <row r="26" spans="1:7" x14ac:dyDescent="0.3">
      <c r="A26" s="137" t="s">
        <v>208</v>
      </c>
      <c r="B26" s="94" t="s">
        <v>209</v>
      </c>
      <c r="C26" s="94" t="s">
        <v>210</v>
      </c>
      <c r="D26" s="94" t="s">
        <v>314</v>
      </c>
      <c r="E26" s="134">
        <v>0.12</v>
      </c>
      <c r="F26" s="135">
        <v>0.127</v>
      </c>
      <c r="G26" s="136">
        <v>0.157</v>
      </c>
    </row>
    <row r="27" spans="1:7" x14ac:dyDescent="0.3">
      <c r="A27" s="137" t="s">
        <v>315</v>
      </c>
      <c r="B27" s="94" t="s">
        <v>316</v>
      </c>
      <c r="C27" s="94" t="s">
        <v>317</v>
      </c>
      <c r="D27" s="94" t="s">
        <v>318</v>
      </c>
      <c r="E27" s="134">
        <v>0.12</v>
      </c>
      <c r="F27" s="135">
        <v>0.127</v>
      </c>
      <c r="G27" s="136">
        <v>0.157</v>
      </c>
    </row>
    <row r="28" spans="1:7" x14ac:dyDescent="0.3">
      <c r="A28" s="133" t="s">
        <v>20</v>
      </c>
      <c r="B28" s="94" t="s">
        <v>211</v>
      </c>
      <c r="C28" s="94" t="s">
        <v>212</v>
      </c>
      <c r="D28" s="94" t="s">
        <v>319</v>
      </c>
      <c r="E28" s="134">
        <v>0.12</v>
      </c>
      <c r="F28" s="135">
        <v>0.127</v>
      </c>
      <c r="G28" s="136">
        <v>0.157</v>
      </c>
    </row>
    <row r="29" spans="1:7" x14ac:dyDescent="0.3">
      <c r="A29" s="138" t="s">
        <v>14</v>
      </c>
      <c r="B29" s="94" t="s">
        <v>213</v>
      </c>
      <c r="C29" s="94" t="s">
        <v>214</v>
      </c>
      <c r="D29" s="94" t="s">
        <v>320</v>
      </c>
      <c r="E29" s="134">
        <v>0.23</v>
      </c>
      <c r="F29" s="135">
        <v>0.23200000000000001</v>
      </c>
      <c r="G29" s="136">
        <v>0.26800000000000002</v>
      </c>
    </row>
    <row r="30" spans="1:7" x14ac:dyDescent="0.3">
      <c r="A30" s="138" t="s">
        <v>14</v>
      </c>
      <c r="B30" s="94" t="s">
        <v>215</v>
      </c>
      <c r="C30" s="94" t="s">
        <v>216</v>
      </c>
      <c r="D30" s="94" t="s">
        <v>321</v>
      </c>
      <c r="E30" s="134">
        <v>0.23</v>
      </c>
      <c r="F30" s="135">
        <v>0.23200000000000001</v>
      </c>
      <c r="G30" s="136">
        <v>0.26800000000000002</v>
      </c>
    </row>
    <row r="31" spans="1:7" x14ac:dyDescent="0.3">
      <c r="A31" s="133" t="s">
        <v>20</v>
      </c>
      <c r="B31" s="94" t="s">
        <v>217</v>
      </c>
      <c r="C31" s="94" t="s">
        <v>218</v>
      </c>
      <c r="D31" s="94" t="s">
        <v>322</v>
      </c>
      <c r="E31" s="134">
        <v>0.12</v>
      </c>
      <c r="F31" s="135">
        <v>0.127</v>
      </c>
      <c r="G31" s="136">
        <v>0.157</v>
      </c>
    </row>
    <row r="32" spans="1:7" x14ac:dyDescent="0.3">
      <c r="A32" s="133" t="s">
        <v>20</v>
      </c>
      <c r="B32" s="94" t="s">
        <v>219</v>
      </c>
      <c r="C32" s="94" t="s">
        <v>220</v>
      </c>
      <c r="D32" s="94" t="s">
        <v>323</v>
      </c>
      <c r="E32" s="134">
        <v>0.12</v>
      </c>
      <c r="F32" s="135">
        <v>0.127</v>
      </c>
      <c r="G32" s="136">
        <v>0.157</v>
      </c>
    </row>
    <row r="33" spans="1:7" x14ac:dyDescent="0.3">
      <c r="A33" s="138" t="s">
        <v>20</v>
      </c>
      <c r="B33" s="94" t="s">
        <v>221</v>
      </c>
      <c r="C33" s="94" t="s">
        <v>222</v>
      </c>
      <c r="D33" s="94" t="s">
        <v>324</v>
      </c>
      <c r="E33" s="134">
        <v>0.12</v>
      </c>
      <c r="F33" s="135">
        <v>0.127</v>
      </c>
      <c r="G33" s="136">
        <v>0.157</v>
      </c>
    </row>
    <row r="34" spans="1:7" x14ac:dyDescent="0.3">
      <c r="A34" s="138" t="s">
        <v>16</v>
      </c>
      <c r="B34" s="94" t="s">
        <v>223</v>
      </c>
      <c r="C34" s="94" t="s">
        <v>224</v>
      </c>
      <c r="D34" s="94" t="s">
        <v>325</v>
      </c>
      <c r="E34" s="134">
        <v>0.35399999999999998</v>
      </c>
      <c r="F34" s="135">
        <v>0.33400000000000002</v>
      </c>
      <c r="G34" s="136">
        <v>0.316</v>
      </c>
    </row>
    <row r="35" spans="1:7" x14ac:dyDescent="0.3">
      <c r="A35" s="138" t="s">
        <v>20</v>
      </c>
      <c r="B35" s="94" t="s">
        <v>225</v>
      </c>
      <c r="C35" s="94" t="s">
        <v>226</v>
      </c>
      <c r="D35" s="94" t="s">
        <v>326</v>
      </c>
      <c r="E35" s="134">
        <v>0.12</v>
      </c>
      <c r="F35" s="135">
        <v>0.127</v>
      </c>
      <c r="G35" s="136">
        <v>0.157</v>
      </c>
    </row>
    <row r="36" spans="1:7" x14ac:dyDescent="0.3">
      <c r="A36" s="138" t="s">
        <v>22</v>
      </c>
      <c r="B36" s="94" t="s">
        <v>227</v>
      </c>
      <c r="C36" s="94" t="s">
        <v>228</v>
      </c>
      <c r="D36" s="94" t="s">
        <v>327</v>
      </c>
      <c r="E36" s="134">
        <v>0.10199999999999999</v>
      </c>
      <c r="F36" s="135">
        <v>9.7000000000000003E-2</v>
      </c>
      <c r="G36" s="136">
        <v>0.08</v>
      </c>
    </row>
    <row r="37" spans="1:7" x14ac:dyDescent="0.3">
      <c r="A37" s="138" t="s">
        <v>22</v>
      </c>
      <c r="B37" s="94" t="s">
        <v>229</v>
      </c>
      <c r="C37" s="94" t="s">
        <v>230</v>
      </c>
      <c r="D37" s="94" t="s">
        <v>328</v>
      </c>
      <c r="E37" s="134">
        <v>0.10199999999999999</v>
      </c>
      <c r="F37" s="135">
        <v>9.7000000000000003E-2</v>
      </c>
      <c r="G37" s="136">
        <v>0.08</v>
      </c>
    </row>
    <row r="38" spans="1:7" x14ac:dyDescent="0.3">
      <c r="A38" s="138" t="s">
        <v>22</v>
      </c>
      <c r="B38" s="94" t="s">
        <v>231</v>
      </c>
      <c r="C38" s="94" t="s">
        <v>232</v>
      </c>
      <c r="D38" s="94" t="s">
        <v>329</v>
      </c>
      <c r="E38" s="134">
        <v>0.10199999999999999</v>
      </c>
      <c r="F38" s="135">
        <v>9.7000000000000003E-2</v>
      </c>
      <c r="G38" s="136">
        <v>0.08</v>
      </c>
    </row>
    <row r="39" spans="1:7" x14ac:dyDescent="0.3">
      <c r="A39" s="138" t="s">
        <v>14</v>
      </c>
      <c r="B39" s="94" t="s">
        <v>330</v>
      </c>
      <c r="C39" s="94" t="s">
        <v>331</v>
      </c>
      <c r="D39" s="94" t="s">
        <v>332</v>
      </c>
      <c r="E39" s="134">
        <v>0.23</v>
      </c>
      <c r="F39" s="135">
        <v>0.23200000000000001</v>
      </c>
      <c r="G39" s="136">
        <v>0.26800000000000002</v>
      </c>
    </row>
    <row r="40" spans="1:7" x14ac:dyDescent="0.3">
      <c r="A40" s="138" t="s">
        <v>14</v>
      </c>
      <c r="B40" s="94" t="s">
        <v>333</v>
      </c>
      <c r="C40" s="94" t="s">
        <v>334</v>
      </c>
      <c r="D40" s="94" t="s">
        <v>335</v>
      </c>
      <c r="E40" s="134">
        <v>0.23</v>
      </c>
      <c r="F40" s="135">
        <v>0.23200000000000001</v>
      </c>
      <c r="G40" s="136">
        <v>0.26800000000000002</v>
      </c>
    </row>
    <row r="41" spans="1:7" x14ac:dyDescent="0.3">
      <c r="A41" s="138" t="s">
        <v>16</v>
      </c>
      <c r="B41" s="94" t="s">
        <v>336</v>
      </c>
      <c r="C41" s="94" t="s">
        <v>337</v>
      </c>
      <c r="D41" s="94" t="s">
        <v>338</v>
      </c>
      <c r="E41" s="134">
        <v>0.35399999999999998</v>
      </c>
      <c r="F41" s="135">
        <v>0.33400000000000002</v>
      </c>
      <c r="G41" s="136">
        <v>0.316</v>
      </c>
    </row>
    <row r="42" spans="1:7" x14ac:dyDescent="0.3">
      <c r="A42" s="138" t="s">
        <v>18</v>
      </c>
      <c r="B42" s="94" t="s">
        <v>339</v>
      </c>
      <c r="C42" s="94" t="s">
        <v>340</v>
      </c>
      <c r="D42" s="94" t="s">
        <v>341</v>
      </c>
      <c r="E42" s="134">
        <v>0.46100000000000002</v>
      </c>
      <c r="F42" s="135">
        <v>0.441</v>
      </c>
      <c r="G42" s="136">
        <v>0.316</v>
      </c>
    </row>
    <row r="43" spans="1:7" x14ac:dyDescent="0.3">
      <c r="A43" s="138" t="s">
        <v>14</v>
      </c>
      <c r="B43" s="94" t="s">
        <v>342</v>
      </c>
      <c r="C43" s="94" t="s">
        <v>343</v>
      </c>
      <c r="D43" s="94" t="s">
        <v>344</v>
      </c>
      <c r="E43" s="134">
        <v>0.23</v>
      </c>
      <c r="F43" s="135">
        <v>0.23200000000000001</v>
      </c>
      <c r="G43" s="136">
        <v>0.26800000000000002</v>
      </c>
    </row>
    <row r="44" spans="1:7" x14ac:dyDescent="0.3">
      <c r="A44" s="138" t="s">
        <v>22</v>
      </c>
      <c r="B44" s="94" t="s">
        <v>233</v>
      </c>
      <c r="C44" s="94" t="s">
        <v>234</v>
      </c>
      <c r="D44" s="94" t="s">
        <v>345</v>
      </c>
      <c r="E44" s="134">
        <v>0.10199999999999999</v>
      </c>
      <c r="F44" s="135">
        <v>9.7000000000000003E-2</v>
      </c>
      <c r="G44" s="136">
        <v>0.08</v>
      </c>
    </row>
    <row r="45" spans="1:7" x14ac:dyDescent="0.3">
      <c r="A45" s="138" t="s">
        <v>22</v>
      </c>
      <c r="B45" s="94" t="s">
        <v>235</v>
      </c>
      <c r="C45" s="94" t="s">
        <v>236</v>
      </c>
      <c r="D45" s="94" t="s">
        <v>346</v>
      </c>
      <c r="E45" s="134">
        <v>0.10199999999999999</v>
      </c>
      <c r="F45" s="135">
        <v>9.7000000000000003E-2</v>
      </c>
      <c r="G45" s="136">
        <v>0.08</v>
      </c>
    </row>
    <row r="46" spans="1:7" x14ac:dyDescent="0.3">
      <c r="A46" s="138" t="s">
        <v>22</v>
      </c>
      <c r="B46" s="94" t="s">
        <v>237</v>
      </c>
      <c r="C46" s="94" t="s">
        <v>238</v>
      </c>
      <c r="D46" s="94" t="s">
        <v>347</v>
      </c>
      <c r="E46" s="134">
        <v>0.10199999999999999</v>
      </c>
      <c r="F46" s="135">
        <v>9.7000000000000003E-2</v>
      </c>
      <c r="G46" s="136">
        <v>0.08</v>
      </c>
    </row>
    <row r="47" spans="1:7" x14ac:dyDescent="0.3">
      <c r="A47" s="138" t="s">
        <v>22</v>
      </c>
      <c r="B47" s="94" t="s">
        <v>348</v>
      </c>
      <c r="C47" s="94" t="s">
        <v>239</v>
      </c>
      <c r="D47" s="94" t="s">
        <v>349</v>
      </c>
      <c r="E47" s="134">
        <v>0.10199999999999999</v>
      </c>
      <c r="F47" s="135">
        <v>9.7000000000000003E-2</v>
      </c>
      <c r="G47" s="136">
        <v>0.08</v>
      </c>
    </row>
    <row r="48" spans="1:7" x14ac:dyDescent="0.3">
      <c r="A48" s="138" t="s">
        <v>20</v>
      </c>
      <c r="B48" s="94" t="s">
        <v>240</v>
      </c>
      <c r="C48" s="94" t="s">
        <v>241</v>
      </c>
      <c r="D48" s="94" t="s">
        <v>350</v>
      </c>
      <c r="E48" s="134">
        <v>0.12</v>
      </c>
      <c r="F48" s="135">
        <v>0.127</v>
      </c>
      <c r="G48" s="136">
        <v>0.157</v>
      </c>
    </row>
    <row r="49" spans="1:7" x14ac:dyDescent="0.3">
      <c r="A49" s="138" t="s">
        <v>20</v>
      </c>
      <c r="B49" s="94" t="s">
        <v>242</v>
      </c>
      <c r="C49" s="94" t="s">
        <v>243</v>
      </c>
      <c r="D49" s="94" t="s">
        <v>351</v>
      </c>
      <c r="E49" s="134">
        <v>0.12</v>
      </c>
      <c r="F49" s="135">
        <v>0.127</v>
      </c>
      <c r="G49" s="136">
        <v>0.157</v>
      </c>
    </row>
    <row r="50" spans="1:7" x14ac:dyDescent="0.3">
      <c r="A50" s="138" t="s">
        <v>20</v>
      </c>
      <c r="B50" s="94" t="s">
        <v>244</v>
      </c>
      <c r="C50" s="94" t="s">
        <v>245</v>
      </c>
      <c r="D50" s="94" t="s">
        <v>352</v>
      </c>
      <c r="E50" s="134">
        <v>0.12</v>
      </c>
      <c r="F50" s="135">
        <v>0.127</v>
      </c>
      <c r="G50" s="136">
        <v>0.157</v>
      </c>
    </row>
    <row r="51" spans="1:7" x14ac:dyDescent="0.3">
      <c r="A51" s="138" t="s">
        <v>22</v>
      </c>
      <c r="B51" s="94" t="s">
        <v>246</v>
      </c>
      <c r="C51" s="94" t="s">
        <v>247</v>
      </c>
      <c r="D51" s="94" t="s">
        <v>353</v>
      </c>
      <c r="E51" s="134">
        <v>0.10199999999999999</v>
      </c>
      <c r="F51" s="135">
        <v>9.7000000000000003E-2</v>
      </c>
      <c r="G51" s="136">
        <v>0.08</v>
      </c>
    </row>
    <row r="52" spans="1:7" x14ac:dyDescent="0.3">
      <c r="A52" s="138" t="s">
        <v>22</v>
      </c>
      <c r="B52" s="94" t="s">
        <v>248</v>
      </c>
      <c r="C52" s="94" t="s">
        <v>249</v>
      </c>
      <c r="D52" s="94" t="s">
        <v>354</v>
      </c>
      <c r="E52" s="134">
        <v>0.10199999999999999</v>
      </c>
      <c r="F52" s="135">
        <v>9.7000000000000003E-2</v>
      </c>
      <c r="G52" s="136">
        <v>0.08</v>
      </c>
    </row>
    <row r="53" spans="1:7" x14ac:dyDescent="0.3">
      <c r="A53" s="138" t="s">
        <v>20</v>
      </c>
      <c r="B53" s="94" t="s">
        <v>250</v>
      </c>
      <c r="C53" s="94" t="s">
        <v>251</v>
      </c>
      <c r="D53" s="94" t="s">
        <v>355</v>
      </c>
      <c r="E53" s="134">
        <v>0.12</v>
      </c>
      <c r="F53" s="135">
        <v>0.127</v>
      </c>
      <c r="G53" s="136">
        <v>0.157</v>
      </c>
    </row>
    <row r="54" spans="1:7" x14ac:dyDescent="0.3">
      <c r="A54" s="138" t="s">
        <v>22</v>
      </c>
      <c r="B54" s="94" t="s">
        <v>263</v>
      </c>
      <c r="C54" s="94" t="s">
        <v>252</v>
      </c>
      <c r="D54" s="94" t="s">
        <v>356</v>
      </c>
      <c r="E54" s="134">
        <v>0.10199999999999999</v>
      </c>
      <c r="F54" s="135">
        <v>9.7000000000000003E-2</v>
      </c>
      <c r="G54" s="136">
        <v>0.08</v>
      </c>
    </row>
    <row r="55" spans="1:7" x14ac:dyDescent="0.3">
      <c r="A55" s="138" t="s">
        <v>20</v>
      </c>
      <c r="B55" s="94" t="s">
        <v>253</v>
      </c>
      <c r="C55" s="94" t="s">
        <v>254</v>
      </c>
      <c r="D55" s="94" t="s">
        <v>357</v>
      </c>
      <c r="E55" s="134">
        <v>0.12</v>
      </c>
      <c r="F55" s="135">
        <v>0.127</v>
      </c>
      <c r="G55" s="136">
        <v>0.157</v>
      </c>
    </row>
    <row r="56" spans="1:7" x14ac:dyDescent="0.3">
      <c r="A56" s="138" t="s">
        <v>22</v>
      </c>
      <c r="B56" s="94" t="s">
        <v>264</v>
      </c>
      <c r="C56" s="94" t="s">
        <v>255</v>
      </c>
      <c r="D56" s="94" t="s">
        <v>358</v>
      </c>
      <c r="E56" s="134">
        <v>0.10199999999999999</v>
      </c>
      <c r="F56" s="135">
        <v>9.7000000000000003E-2</v>
      </c>
      <c r="G56" s="136">
        <v>0.08</v>
      </c>
    </row>
    <row r="57" spans="1:7" x14ac:dyDescent="0.3">
      <c r="A57" s="138" t="s">
        <v>22</v>
      </c>
      <c r="B57" s="94" t="s">
        <v>256</v>
      </c>
      <c r="C57" s="94" t="s">
        <v>257</v>
      </c>
      <c r="D57" s="94" t="s">
        <v>359</v>
      </c>
      <c r="E57" s="134">
        <v>0.10199999999999999</v>
      </c>
      <c r="F57" s="135">
        <v>9.7000000000000003E-2</v>
      </c>
      <c r="G57" s="136">
        <v>0.08</v>
      </c>
    </row>
    <row r="58" spans="1:7" x14ac:dyDescent="0.3">
      <c r="A58" s="138" t="s">
        <v>22</v>
      </c>
      <c r="B58" s="94" t="s">
        <v>265</v>
      </c>
      <c r="C58" s="94" t="s">
        <v>258</v>
      </c>
      <c r="D58" s="94" t="s">
        <v>360</v>
      </c>
      <c r="E58" s="134">
        <v>0.10199999999999999</v>
      </c>
      <c r="F58" s="135">
        <v>9.7000000000000003E-2</v>
      </c>
      <c r="G58" s="136">
        <v>0.08</v>
      </c>
    </row>
    <row r="59" spans="1:7" x14ac:dyDescent="0.3">
      <c r="A59" s="138" t="s">
        <v>22</v>
      </c>
      <c r="B59" s="94">
        <v>65202</v>
      </c>
      <c r="C59" s="94" t="s">
        <v>259</v>
      </c>
      <c r="D59" s="94" t="s">
        <v>361</v>
      </c>
      <c r="E59" s="134">
        <v>0.10199999999999999</v>
      </c>
      <c r="F59" s="135">
        <v>9.7000000000000003E-2</v>
      </c>
      <c r="G59" s="136">
        <v>0.08</v>
      </c>
    </row>
    <row r="60" spans="1:7" x14ac:dyDescent="0.3">
      <c r="A60" s="138" t="s">
        <v>22</v>
      </c>
      <c r="B60" s="94">
        <v>65203</v>
      </c>
      <c r="C60" s="94" t="s">
        <v>260</v>
      </c>
      <c r="D60" s="94" t="s">
        <v>362</v>
      </c>
      <c r="E60" s="134">
        <v>0.10199999999999999</v>
      </c>
      <c r="F60" s="135">
        <v>9.7000000000000003E-2</v>
      </c>
      <c r="G60" s="136">
        <v>0.08</v>
      </c>
    </row>
    <row r="61" spans="1:7" ht="15.75" thickBot="1" x14ac:dyDescent="0.35">
      <c r="A61" s="137" t="s">
        <v>22</v>
      </c>
      <c r="B61" s="94" t="s">
        <v>261</v>
      </c>
      <c r="C61" s="94" t="s">
        <v>262</v>
      </c>
      <c r="D61" s="94" t="s">
        <v>363</v>
      </c>
      <c r="E61" s="139">
        <v>0.10199999999999999</v>
      </c>
      <c r="F61" s="140">
        <v>9.7000000000000003E-2</v>
      </c>
      <c r="G61" s="141">
        <v>0.08</v>
      </c>
    </row>
    <row r="62" spans="1:7" ht="15.75" thickTop="1" x14ac:dyDescent="0.3">
      <c r="E62" s="132"/>
      <c r="F62" s="132"/>
      <c r="G62" s="132"/>
    </row>
    <row r="63" spans="1:7" x14ac:dyDescent="0.3">
      <c r="E63" s="132"/>
      <c r="F63" s="132"/>
      <c r="G63" s="132"/>
    </row>
    <row r="64" spans="1:7" x14ac:dyDescent="0.3">
      <c r="E64" s="132"/>
      <c r="F64" s="132"/>
      <c r="G64" s="132"/>
    </row>
    <row r="65" spans="5:7" x14ac:dyDescent="0.3">
      <c r="E65" s="132"/>
      <c r="F65" s="132"/>
      <c r="G65" s="132"/>
    </row>
    <row r="66" spans="5:7" x14ac:dyDescent="0.3">
      <c r="E66" s="132"/>
      <c r="F66" s="132"/>
      <c r="G66" s="132"/>
    </row>
    <row r="67" spans="5:7" x14ac:dyDescent="0.3">
      <c r="E67" s="132"/>
      <c r="F67" s="132"/>
      <c r="G67" s="132"/>
    </row>
    <row r="68" spans="5:7" x14ac:dyDescent="0.3">
      <c r="E68" s="132"/>
      <c r="F68" s="132"/>
      <c r="G68" s="132"/>
    </row>
    <row r="69" spans="5:7" x14ac:dyDescent="0.3">
      <c r="E69" s="132"/>
      <c r="F69" s="132"/>
      <c r="G69" s="132"/>
    </row>
    <row r="70" spans="5:7" x14ac:dyDescent="0.3">
      <c r="E70" s="132"/>
      <c r="F70" s="132"/>
      <c r="G70" s="132"/>
    </row>
    <row r="71" spans="5:7" x14ac:dyDescent="0.3">
      <c r="E71" s="132"/>
      <c r="F71" s="132"/>
      <c r="G71" s="132"/>
    </row>
    <row r="72" spans="5:7" x14ac:dyDescent="0.3">
      <c r="E72" s="132"/>
      <c r="F72" s="132"/>
      <c r="G72" s="132"/>
    </row>
    <row r="73" spans="5:7" x14ac:dyDescent="0.3">
      <c r="E73" s="132"/>
      <c r="F73" s="132"/>
      <c r="G73" s="132"/>
    </row>
    <row r="74" spans="5:7" x14ac:dyDescent="0.3">
      <c r="E74" s="132"/>
      <c r="F74" s="132"/>
      <c r="G74" s="132"/>
    </row>
    <row r="75" spans="5:7" x14ac:dyDescent="0.3">
      <c r="E75" s="132"/>
      <c r="F75" s="132"/>
      <c r="G75" s="132"/>
    </row>
    <row r="76" spans="5:7" x14ac:dyDescent="0.3">
      <c r="E76" s="132"/>
      <c r="F76" s="132"/>
      <c r="G76" s="132"/>
    </row>
    <row r="77" spans="5:7" x14ac:dyDescent="0.3">
      <c r="E77" s="132"/>
      <c r="F77" s="132"/>
      <c r="G77" s="132"/>
    </row>
    <row r="78" spans="5:7" x14ac:dyDescent="0.3">
      <c r="E78" s="132"/>
      <c r="F78" s="132"/>
      <c r="G78" s="132"/>
    </row>
    <row r="79" spans="5:7" x14ac:dyDescent="0.3">
      <c r="E79" s="132"/>
      <c r="F79" s="132"/>
      <c r="G79" s="132"/>
    </row>
    <row r="80" spans="5:7" x14ac:dyDescent="0.3">
      <c r="E80" s="132"/>
      <c r="F80" s="132"/>
      <c r="G80" s="132"/>
    </row>
    <row r="81" spans="5:7" x14ac:dyDescent="0.3">
      <c r="E81" s="132"/>
      <c r="F81" s="132"/>
      <c r="G81" s="132"/>
    </row>
    <row r="82" spans="5:7" x14ac:dyDescent="0.3">
      <c r="E82" s="132"/>
      <c r="F82" s="132"/>
      <c r="G82" s="132"/>
    </row>
    <row r="83" spans="5:7" x14ac:dyDescent="0.3">
      <c r="E83" s="132"/>
      <c r="F83" s="132"/>
      <c r="G83" s="132"/>
    </row>
  </sheetData>
  <mergeCells count="1">
    <mergeCell ref="E3:G3"/>
  </mergeCell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5"/>
  <sheetViews>
    <sheetView zoomScale="90" workbookViewId="0">
      <pane xSplit="3" ySplit="12" topLeftCell="D13" activePane="bottomRight" state="frozen"/>
      <selection pane="topRight" activeCell="D1" sqref="D1"/>
      <selection pane="bottomLeft" activeCell="A10" sqref="A10"/>
      <selection pane="bottomRight" activeCell="H38" sqref="H38"/>
    </sheetView>
  </sheetViews>
  <sheetFormatPr defaultRowHeight="12.75" x14ac:dyDescent="0.2"/>
  <cols>
    <col min="1" max="1" width="32.5703125" style="100" customWidth="1"/>
    <col min="2" max="2" width="13" style="100" customWidth="1"/>
    <col min="3" max="4" width="15.7109375" style="100" customWidth="1"/>
    <col min="5" max="5" width="13.28515625" style="100" customWidth="1"/>
    <col min="6" max="6" width="13.5703125" style="100" customWidth="1"/>
    <col min="7" max="7" width="13.85546875" style="100" customWidth="1"/>
    <col min="8" max="8" width="15.28515625" style="100" customWidth="1"/>
    <col min="9" max="17" width="13.28515625" style="100" customWidth="1"/>
    <col min="18" max="18" width="15" style="100" customWidth="1"/>
    <col min="19" max="19" width="9.140625" style="100"/>
    <col min="20" max="20" width="17" style="100" customWidth="1"/>
    <col min="21" max="21" width="9.140625" style="100"/>
    <col min="22" max="22" width="18.42578125" style="100" customWidth="1"/>
    <col min="23" max="23" width="14.5703125" style="100" customWidth="1"/>
    <col min="24" max="16384" width="9.140625" style="100"/>
  </cols>
  <sheetData>
    <row r="1" spans="1:23" x14ac:dyDescent="0.2">
      <c r="A1" s="99" t="s">
        <v>0</v>
      </c>
    </row>
    <row r="2" spans="1:23" x14ac:dyDescent="0.2">
      <c r="A2" s="99" t="s">
        <v>1</v>
      </c>
    </row>
    <row r="3" spans="1:23" x14ac:dyDescent="0.2">
      <c r="A3" s="99" t="s">
        <v>2</v>
      </c>
    </row>
    <row r="4" spans="1:23" x14ac:dyDescent="0.2">
      <c r="A4" s="99"/>
      <c r="C4" s="101" t="s">
        <v>268</v>
      </c>
      <c r="D4" s="1">
        <f t="shared" ref="D4:J4" si="0">D13/D15</f>
        <v>102440.51065912953</v>
      </c>
      <c r="E4" s="1">
        <f t="shared" si="0"/>
        <v>59028.947978547927</v>
      </c>
      <c r="F4" s="1">
        <f t="shared" si="0"/>
        <v>67930.608088969209</v>
      </c>
      <c r="G4" s="1">
        <f t="shared" si="0"/>
        <v>74208.030456510707</v>
      </c>
      <c r="H4" s="1">
        <f t="shared" si="0"/>
        <v>494473.83973137796</v>
      </c>
      <c r="I4" s="1">
        <f t="shared" si="0"/>
        <v>39997.568348989153</v>
      </c>
      <c r="J4" s="1">
        <f t="shared" si="0"/>
        <v>35342.269653940646</v>
      </c>
    </row>
    <row r="5" spans="1:23" x14ac:dyDescent="0.2">
      <c r="A5" s="99"/>
      <c r="C5" s="101" t="s">
        <v>266</v>
      </c>
      <c r="D5" s="1">
        <v>100673.55726722986</v>
      </c>
      <c r="E5" s="1">
        <v>58249.926395600269</v>
      </c>
      <c r="F5" s="1">
        <v>65803.56521010185</v>
      </c>
      <c r="G5" s="1">
        <v>73228.155587805988</v>
      </c>
      <c r="H5" s="1">
        <v>453425.63380528707</v>
      </c>
      <c r="I5" s="1">
        <v>39138.072930630435</v>
      </c>
      <c r="J5" s="1">
        <v>34473.254738066636</v>
      </c>
      <c r="W5" s="102">
        <f>386/470</f>
        <v>0.82127659574468082</v>
      </c>
    </row>
    <row r="6" spans="1:23" x14ac:dyDescent="0.2">
      <c r="A6" s="99"/>
      <c r="C6" s="100" t="s">
        <v>3</v>
      </c>
      <c r="D6" s="2">
        <f t="shared" ref="D6:J6" si="1">(D4-D5)/D5</f>
        <v>1.7551315756226229E-2</v>
      </c>
      <c r="E6" s="2">
        <f t="shared" si="1"/>
        <v>1.3373777979683411E-2</v>
      </c>
      <c r="F6" s="2">
        <f t="shared" si="1"/>
        <v>3.2324128215181061E-2</v>
      </c>
      <c r="G6" s="2">
        <f t="shared" si="1"/>
        <v>1.3381121794468475E-2</v>
      </c>
      <c r="H6" s="2">
        <f t="shared" si="1"/>
        <v>9.0529080990860059E-2</v>
      </c>
      <c r="I6" s="2">
        <f t="shared" si="1"/>
        <v>2.1960596268551978E-2</v>
      </c>
      <c r="J6" s="2">
        <f t="shared" si="1"/>
        <v>2.5208380307485484E-2</v>
      </c>
    </row>
    <row r="8" spans="1:23" x14ac:dyDescent="0.2">
      <c r="D8" s="125" t="s">
        <v>4</v>
      </c>
      <c r="E8" s="126"/>
      <c r="F8" s="125" t="s">
        <v>5</v>
      </c>
      <c r="G8" s="127"/>
      <c r="H8" s="126"/>
      <c r="I8" s="125" t="s">
        <v>6</v>
      </c>
      <c r="J8" s="126"/>
      <c r="K8" s="125" t="s">
        <v>7</v>
      </c>
      <c r="L8" s="126"/>
      <c r="M8" s="125" t="s">
        <v>8</v>
      </c>
      <c r="N8" s="126"/>
      <c r="O8" s="125" t="s">
        <v>9</v>
      </c>
      <c r="P8" s="126"/>
      <c r="Q8" s="125" t="s">
        <v>10</v>
      </c>
      <c r="R8" s="126"/>
      <c r="T8" s="103" t="s">
        <v>11</v>
      </c>
    </row>
    <row r="9" spans="1:23" x14ac:dyDescent="0.2">
      <c r="H9" s="104"/>
    </row>
    <row r="10" spans="1:23" x14ac:dyDescent="0.2">
      <c r="B10" s="105" t="s">
        <v>12</v>
      </c>
      <c r="C10" s="105" t="s">
        <v>13</v>
      </c>
      <c r="D10" s="105" t="s">
        <v>14</v>
      </c>
      <c r="E10" s="105" t="s">
        <v>15</v>
      </c>
      <c r="F10" s="105" t="s">
        <v>16</v>
      </c>
      <c r="G10" s="105" t="s">
        <v>17</v>
      </c>
      <c r="H10" s="106" t="s">
        <v>4</v>
      </c>
      <c r="I10" s="105" t="s">
        <v>18</v>
      </c>
      <c r="J10" s="105" t="s">
        <v>19</v>
      </c>
      <c r="K10" s="105" t="s">
        <v>20</v>
      </c>
      <c r="L10" s="105" t="s">
        <v>21</v>
      </c>
      <c r="M10" s="105" t="s">
        <v>22</v>
      </c>
      <c r="N10" s="105" t="s">
        <v>23</v>
      </c>
      <c r="O10" s="105" t="s">
        <v>24</v>
      </c>
      <c r="P10" s="105" t="s">
        <v>25</v>
      </c>
      <c r="Q10" s="105" t="s">
        <v>26</v>
      </c>
      <c r="R10" s="105" t="s">
        <v>27</v>
      </c>
    </row>
    <row r="11" spans="1:23" x14ac:dyDescent="0.2">
      <c r="B11" s="107" t="s">
        <v>28</v>
      </c>
      <c r="C11" s="107" t="s">
        <v>29</v>
      </c>
      <c r="D11" s="108" t="s">
        <v>269</v>
      </c>
      <c r="E11" s="107" t="s">
        <v>31</v>
      </c>
      <c r="F11" s="107" t="s">
        <v>30</v>
      </c>
      <c r="G11" s="107" t="s">
        <v>31</v>
      </c>
      <c r="H11" s="109" t="s">
        <v>267</v>
      </c>
      <c r="I11" s="107" t="s">
        <v>30</v>
      </c>
      <c r="J11" s="107" t="s">
        <v>31</v>
      </c>
      <c r="K11" s="107" t="s">
        <v>30</v>
      </c>
      <c r="L11" s="107" t="s">
        <v>31</v>
      </c>
      <c r="M11" s="107" t="s">
        <v>30</v>
      </c>
      <c r="N11" s="107" t="s">
        <v>31</v>
      </c>
      <c r="O11" s="107" t="s">
        <v>30</v>
      </c>
      <c r="P11" s="107" t="s">
        <v>31</v>
      </c>
      <c r="Q11" s="107" t="s">
        <v>30</v>
      </c>
      <c r="R11" s="107" t="s">
        <v>31</v>
      </c>
    </row>
    <row r="13" spans="1:23" x14ac:dyDescent="0.2">
      <c r="A13" s="100" t="s">
        <v>32</v>
      </c>
      <c r="D13" s="1">
        <f>[2]fy19_salary_projection!B32</f>
        <v>484850936.94966006</v>
      </c>
      <c r="E13" s="1">
        <f>[2]fy19_salary_projection!B46</f>
        <v>43091132.024339989</v>
      </c>
      <c r="F13" s="1">
        <f>[2]fy19_salary_projection!C32</f>
        <v>630599834.88990116</v>
      </c>
      <c r="G13" s="1">
        <f>[2]fy19_salary_projection!C46</f>
        <v>697407070.23028767</v>
      </c>
      <c r="H13" s="1">
        <f>[2]fy19_salary_projection!B61</f>
        <v>257620870.50004792</v>
      </c>
      <c r="I13" s="1">
        <f>[2]fy19_salary_projection!D32</f>
        <v>99633942.757331982</v>
      </c>
      <c r="J13" s="1">
        <f>[2]fy19_salary_projection!D46</f>
        <v>82170776.94541201</v>
      </c>
      <c r="K13" s="1">
        <f>[2]fy19_salary_projection!E32</f>
        <v>117297493.57317603</v>
      </c>
      <c r="L13" s="1">
        <f>[2]fy19_salary_projection!E46</f>
        <v>79042794.369731978</v>
      </c>
      <c r="M13" s="1">
        <f>[2]fy19_salary_projection!F32</f>
        <v>54733747.638203971</v>
      </c>
      <c r="N13" s="1">
        <f>[2]fy19_salary_projection!F46</f>
        <v>7271247.8457719991</v>
      </c>
      <c r="O13" s="1">
        <f>[2]fy19_salary_projection!G32</f>
        <v>1544391.473148</v>
      </c>
      <c r="P13" s="1">
        <f>[2]fy19_salary_projection!G46</f>
        <v>0</v>
      </c>
      <c r="Q13" s="1">
        <f>[2]fy19_salary_projection!H32</f>
        <v>117851882.490504</v>
      </c>
      <c r="R13" s="1">
        <f>[2]fy19_salary_projection!H46</f>
        <v>74351.416104000004</v>
      </c>
      <c r="S13" s="1"/>
      <c r="T13" s="1">
        <f>SUM(D13:S13)</f>
        <v>2673190473.1036201</v>
      </c>
    </row>
    <row r="15" spans="1:23" x14ac:dyDescent="0.2">
      <c r="A15" s="101" t="s">
        <v>33</v>
      </c>
      <c r="D15" s="110">
        <f>[2]FY17_Alloc_Actual_Bnft_Cost!D12</f>
        <v>4733</v>
      </c>
      <c r="E15" s="110">
        <f>[2]FY17_Alloc_Actual_Bnft_Cost!E12</f>
        <v>730</v>
      </c>
      <c r="F15" s="110">
        <f>[2]FY17_Alloc_Actual_Bnft_Cost!F12</f>
        <v>9283</v>
      </c>
      <c r="G15" s="110">
        <f>[2]FY17_Alloc_Actual_Bnft_Cost!G12</f>
        <v>9398</v>
      </c>
      <c r="H15" s="110">
        <f>[2]FY17_Alloc_Actual_Bnft_Cost!H12</f>
        <v>521</v>
      </c>
      <c r="I15" s="110">
        <f>[2]FY17_Alloc_Actual_Bnft_Cost!I12</f>
        <v>2491</v>
      </c>
      <c r="J15" s="110">
        <f>[2]FY17_Alloc_Actual_Bnft_Cost!J12</f>
        <v>2325</v>
      </c>
      <c r="O15" s="110">
        <f>[2]FY17_Alloc_Actual_Bnft_Cost!O12</f>
        <v>4</v>
      </c>
    </row>
    <row r="16" spans="1:23" x14ac:dyDescent="0.2">
      <c r="V16" s="100" t="s">
        <v>34</v>
      </c>
      <c r="W16" s="105" t="s">
        <v>35</v>
      </c>
    </row>
    <row r="18" spans="1:24" x14ac:dyDescent="0.2">
      <c r="A18" s="100" t="s">
        <v>36</v>
      </c>
      <c r="B18" s="111" t="s">
        <v>37</v>
      </c>
      <c r="C18" s="112">
        <f>[2]fy19_bnft_proj_by_component!B21</f>
        <v>0.14050000000000001</v>
      </c>
      <c r="D18" s="1">
        <f>D13*C18</f>
        <v>68121556.641427249</v>
      </c>
      <c r="E18" s="1">
        <f>E13*C18</f>
        <v>6054304.0494197691</v>
      </c>
      <c r="F18" s="1"/>
      <c r="G18" s="1"/>
      <c r="H18" s="1"/>
      <c r="I18" s="1"/>
      <c r="J18" s="1"/>
      <c r="K18" s="1">
        <f>K13*C18</f>
        <v>16480297.847031234</v>
      </c>
      <c r="L18" s="1">
        <f>L13*C18</f>
        <v>11105512.608947344</v>
      </c>
      <c r="M18" s="1"/>
      <c r="N18" s="1"/>
      <c r="O18" s="1"/>
      <c r="P18" s="1"/>
      <c r="Q18" s="1"/>
      <c r="R18" s="1"/>
      <c r="S18" s="1"/>
      <c r="T18" s="113">
        <f>SUM(D18:S18)</f>
        <v>101761671.14682561</v>
      </c>
      <c r="V18" s="1">
        <f>[2]FY19_HR_cost_estimates!C26</f>
        <v>101090796.784776</v>
      </c>
      <c r="W18" s="113">
        <f>T18-V18</f>
        <v>670874.36204960942</v>
      </c>
    </row>
    <row r="19" spans="1:24" x14ac:dyDescent="0.2">
      <c r="A19" s="100" t="s">
        <v>38</v>
      </c>
      <c r="B19" s="111" t="s">
        <v>37</v>
      </c>
      <c r="C19" s="112">
        <f>[2]fy19_bnft_proj_by_component!B38</f>
        <v>0.14050000000000001</v>
      </c>
      <c r="D19" s="1"/>
      <c r="E19" s="1"/>
      <c r="F19" s="1">
        <f>F13*C19</f>
        <v>88599276.802031115</v>
      </c>
      <c r="G19" s="1">
        <f>G13*C19</f>
        <v>97985693.367355421</v>
      </c>
      <c r="H19" s="1">
        <f>H$13*$C19</f>
        <v>36195732.305256739</v>
      </c>
      <c r="I19" s="1">
        <f>I13*C19</f>
        <v>13998568.957405144</v>
      </c>
      <c r="J19" s="1">
        <f>J13*C19</f>
        <v>11544994.160830388</v>
      </c>
      <c r="K19" s="1"/>
      <c r="L19" s="1"/>
      <c r="M19" s="1"/>
      <c r="N19" s="1"/>
      <c r="O19" s="1"/>
      <c r="P19" s="1"/>
      <c r="Q19" s="1"/>
      <c r="R19" s="1"/>
      <c r="S19" s="1"/>
      <c r="T19" s="113">
        <f>SUM(D19:S19)</f>
        <v>248324265.59287882</v>
      </c>
      <c r="V19" s="1">
        <f>[2]FY19_HR_cost_estimates!C27</f>
        <v>246720389.65369201</v>
      </c>
      <c r="W19" s="113">
        <f t="shared" ref="W19:W33" si="2">T19-V19</f>
        <v>1603875.9391868114</v>
      </c>
      <c r="X19" s="100" t="s">
        <v>39</v>
      </c>
    </row>
    <row r="20" spans="1:24" x14ac:dyDescent="0.2">
      <c r="A20" s="100" t="s">
        <v>40</v>
      </c>
      <c r="B20" s="111" t="s">
        <v>37</v>
      </c>
      <c r="C20" s="112">
        <f>[2]fy19_bnft_proj_by_component!B57</f>
        <v>1.3178444793372832E-2</v>
      </c>
      <c r="D20" s="1">
        <f t="shared" ref="D20:L20" si="3">D13*$C20</f>
        <v>6389581.3056061873</v>
      </c>
      <c r="E20" s="1">
        <f t="shared" si="3"/>
        <v>567874.10446670465</v>
      </c>
      <c r="F20" s="1">
        <f t="shared" si="3"/>
        <v>8310325.1108065853</v>
      </c>
      <c r="G20" s="1">
        <f t="shared" si="3"/>
        <v>9190740.5735377353</v>
      </c>
      <c r="H20" s="1">
        <f t="shared" si="3"/>
        <v>3395042.4195055333</v>
      </c>
      <c r="I20" s="1">
        <f t="shared" si="3"/>
        <v>1313020.4141735684</v>
      </c>
      <c r="J20" s="1">
        <f t="shared" si="3"/>
        <v>1082883.0476036652</v>
      </c>
      <c r="K20" s="1">
        <f t="shared" si="3"/>
        <v>1545798.5434551048</v>
      </c>
      <c r="L20" s="1">
        <f t="shared" si="3"/>
        <v>1041661.1019154338</v>
      </c>
      <c r="M20" s="1"/>
      <c r="N20" s="1"/>
      <c r="O20" s="1"/>
      <c r="P20" s="1"/>
      <c r="Q20" s="1"/>
      <c r="R20" s="1"/>
      <c r="S20" s="1"/>
      <c r="T20" s="113">
        <f t="shared" ref="T20:T33" si="4">SUM(D20:S20)</f>
        <v>32836926.621070523</v>
      </c>
      <c r="V20" s="1">
        <f>[2]FY19_HR_cost_estimates!C28</f>
        <v>32563806.264792003</v>
      </c>
      <c r="W20" s="113">
        <f t="shared" si="2"/>
        <v>273120.35627852008</v>
      </c>
    </row>
    <row r="21" spans="1:24" x14ac:dyDescent="0.2">
      <c r="A21" s="100" t="s">
        <v>41</v>
      </c>
      <c r="B21" s="111" t="s">
        <v>37</v>
      </c>
      <c r="C21" s="112">
        <f>[2]fy19_bnft_proj_by_component!B73</f>
        <v>2.7220101728110571E-3</v>
      </c>
      <c r="D21" s="1">
        <f t="shared" ref="D21:J21" si="5">D13*$C21</f>
        <v>1319769.1826739472</v>
      </c>
      <c r="E21" s="1">
        <f t="shared" si="5"/>
        <v>117294.49972819777</v>
      </c>
      <c r="F21" s="1">
        <f t="shared" si="5"/>
        <v>1716499.165543284</v>
      </c>
      <c r="G21" s="1">
        <f t="shared" si="5"/>
        <v>1898349.1397571983</v>
      </c>
      <c r="H21" s="1">
        <f t="shared" si="5"/>
        <v>701246.63022957044</v>
      </c>
      <c r="I21" s="1">
        <f t="shared" si="5"/>
        <v>271204.60574273218</v>
      </c>
      <c r="J21" s="1">
        <f t="shared" si="5"/>
        <v>223669.69075319977</v>
      </c>
      <c r="K21" s="1"/>
      <c r="L21" s="1"/>
      <c r="M21" s="1"/>
      <c r="N21" s="1"/>
      <c r="O21" s="1"/>
      <c r="P21" s="1"/>
      <c r="Q21" s="1"/>
      <c r="R21" s="1"/>
      <c r="S21" s="1"/>
      <c r="T21" s="113">
        <f t="shared" si="4"/>
        <v>6248032.9144281289</v>
      </c>
      <c r="V21" s="1">
        <f>[2]FY19_HR_cost_estimates!C32</f>
        <v>6191619.8550840002</v>
      </c>
      <c r="W21" s="113">
        <f t="shared" si="2"/>
        <v>56413.059344128706</v>
      </c>
    </row>
    <row r="22" spans="1:24" x14ac:dyDescent="0.2">
      <c r="A22" s="100" t="s">
        <v>42</v>
      </c>
      <c r="B22" s="111" t="s">
        <v>37</v>
      </c>
      <c r="C22" s="112">
        <f>[2]fy19_bnft_proj_by_component!B89</f>
        <v>2.8496566859944348E-3</v>
      </c>
      <c r="D22" s="1">
        <f t="shared" ref="D22:J22" si="6">D13*$C22</f>
        <v>1381658.7141892649</v>
      </c>
      <c r="E22" s="1">
        <f t="shared" si="6"/>
        <v>122794.93248022936</v>
      </c>
      <c r="F22" s="1">
        <f t="shared" si="6"/>
        <v>1796993.0356809935</v>
      </c>
      <c r="G22" s="1">
        <f t="shared" si="6"/>
        <v>1987370.7205415296</v>
      </c>
      <c r="H22" s="1">
        <f t="shared" si="6"/>
        <v>734131.03607216803</v>
      </c>
      <c r="I22" s="1">
        <f t="shared" si="6"/>
        <v>283922.53113041789</v>
      </c>
      <c r="J22" s="1">
        <f t="shared" si="6"/>
        <v>234158.50391585068</v>
      </c>
      <c r="K22" s="1"/>
      <c r="L22" s="1"/>
      <c r="M22" s="1"/>
      <c r="N22" s="1"/>
      <c r="O22" s="1"/>
      <c r="P22" s="1"/>
      <c r="Q22" s="1"/>
      <c r="R22" s="1"/>
      <c r="S22" s="1"/>
      <c r="T22" s="113">
        <f t="shared" si="4"/>
        <v>6541029.4740104536</v>
      </c>
      <c r="V22" s="1">
        <f>[2]FY19_HR_cost_estimates!C33</f>
        <v>6603660</v>
      </c>
      <c r="W22" s="113">
        <f t="shared" si="2"/>
        <v>-62630.525989546441</v>
      </c>
    </row>
    <row r="23" spans="1:24" x14ac:dyDescent="0.2">
      <c r="A23" s="100" t="s">
        <v>43</v>
      </c>
      <c r="B23" s="111" t="s">
        <v>37</v>
      </c>
      <c r="C23" s="112">
        <f>[2]fy19_bnft_proj_by_component!B105</f>
        <v>3.4534677399446917E-4</v>
      </c>
      <c r="D23" s="1">
        <f t="shared" ref="D23:L23" si="7">D13*$C23</f>
        <v>167441.70694376089</v>
      </c>
      <c r="E23" s="1">
        <f t="shared" si="7"/>
        <v>14881.383432375575</v>
      </c>
      <c r="F23" s="1">
        <f t="shared" si="7"/>
        <v>217775.61866067228</v>
      </c>
      <c r="G23" s="1">
        <f t="shared" si="7"/>
        <v>240847.28186496405</v>
      </c>
      <c r="H23" s="1">
        <f t="shared" si="7"/>
        <v>88968.536540838453</v>
      </c>
      <c r="I23" s="1">
        <f t="shared" si="7"/>
        <v>34408.260711594208</v>
      </c>
      <c r="J23" s="1">
        <f t="shared" si="7"/>
        <v>28377.412734717138</v>
      </c>
      <c r="K23" s="1">
        <f t="shared" si="7"/>
        <v>40508.31100313332</v>
      </c>
      <c r="L23" s="1">
        <f t="shared" si="7"/>
        <v>27297.174043095129</v>
      </c>
      <c r="M23" s="1"/>
      <c r="N23" s="1"/>
      <c r="O23" s="1"/>
      <c r="P23" s="1"/>
      <c r="Q23" s="1"/>
      <c r="R23" s="1"/>
      <c r="S23" s="1"/>
      <c r="T23" s="113">
        <f t="shared" si="4"/>
        <v>860505.68593515106</v>
      </c>
      <c r="V23" s="1">
        <f>[2]FY19_HR_cost_estimates!C34</f>
        <v>853348.45035599999</v>
      </c>
      <c r="W23" s="113">
        <f t="shared" si="2"/>
        <v>7157.2355791510781</v>
      </c>
    </row>
    <row r="24" spans="1:24" x14ac:dyDescent="0.2">
      <c r="A24" s="100" t="s">
        <v>44</v>
      </c>
      <c r="B24" s="111" t="s">
        <v>37</v>
      </c>
      <c r="C24" s="112">
        <f>[2]fy19_bnft_proj_by_component!B121</f>
        <v>2.4899166408033214E-3</v>
      </c>
      <c r="D24" s="1">
        <f>D13*$C24</f>
        <v>1207238.4162200405</v>
      </c>
      <c r="E24" s="1"/>
      <c r="F24" s="1">
        <f>F13*$C24</f>
        <v>1570141.0225801917</v>
      </c>
      <c r="G24" s="1"/>
      <c r="H24" s="1">
        <f>H13*$C24</f>
        <v>641454.49247630686</v>
      </c>
      <c r="I24" s="1">
        <f>I13*$C24</f>
        <v>248080.21206032648</v>
      </c>
      <c r="J24" s="1"/>
      <c r="K24" s="1">
        <f>K13*$C24</f>
        <v>292060.98117237166</v>
      </c>
      <c r="L24" s="1"/>
      <c r="M24" s="1">
        <f>M13*$C24</f>
        <v>136282.46905789356</v>
      </c>
      <c r="N24" s="1"/>
      <c r="O24" s="1"/>
      <c r="P24" s="1"/>
      <c r="Q24" s="1">
        <f>Q13*$C24</f>
        <v>293441.36336310348</v>
      </c>
      <c r="R24" s="1"/>
      <c r="S24" s="1"/>
      <c r="T24" s="113">
        <f t="shared" si="4"/>
        <v>4388698.956930235</v>
      </c>
      <c r="V24" s="1">
        <f>[2]FY19_HR_cost_estimates!C35</f>
        <v>10526108.6</v>
      </c>
      <c r="W24" s="113">
        <f t="shared" si="2"/>
        <v>-6137409.6430697646</v>
      </c>
    </row>
    <row r="25" spans="1:24" x14ac:dyDescent="0.2">
      <c r="A25" s="100" t="s">
        <v>45</v>
      </c>
      <c r="B25" s="111" t="s">
        <v>37</v>
      </c>
      <c r="C25" s="112">
        <f>[2]fy19_bnft_proj_by_component!B137</f>
        <v>6.8281664819420133E-3</v>
      </c>
      <c r="D25" s="1"/>
      <c r="E25" s="1">
        <f>E13*$C25</f>
        <v>294233.42335753643</v>
      </c>
      <c r="F25" s="1"/>
      <c r="G25" s="1">
        <f>G13*$C25</f>
        <v>4762011.5812158296</v>
      </c>
      <c r="H25" s="1"/>
      <c r="I25" s="1"/>
      <c r="J25" s="1">
        <f>J13*$C25</f>
        <v>561075.74493379577</v>
      </c>
      <c r="K25" s="1"/>
      <c r="L25" s="1">
        <f>L13*$C25</f>
        <v>539717.35915443872</v>
      </c>
      <c r="M25" s="1"/>
      <c r="N25" s="1">
        <f>N13*$C25</f>
        <v>49649.290822393436</v>
      </c>
      <c r="O25" s="1"/>
      <c r="P25" s="1"/>
      <c r="Q25" s="1"/>
      <c r="R25" s="1">
        <f>R13*$C25</f>
        <v>507.68384732625645</v>
      </c>
      <c r="S25" s="1"/>
      <c r="T25" s="113">
        <f t="shared" si="4"/>
        <v>6207195.0833313195</v>
      </c>
      <c r="V25" s="1"/>
      <c r="W25" s="113">
        <f t="shared" si="2"/>
        <v>6207195.0833313195</v>
      </c>
    </row>
    <row r="26" spans="1:24" x14ac:dyDescent="0.2">
      <c r="A26" s="100" t="s">
        <v>46</v>
      </c>
      <c r="B26" s="111" t="s">
        <v>37</v>
      </c>
      <c r="C26" s="112">
        <f>[2]fy19_bnft_proj_by_component!B153</f>
        <v>2.6164816044454099E-3</v>
      </c>
      <c r="D26" s="1">
        <f t="shared" ref="D26:N26" si="8">D13*$C26</f>
        <v>1268603.5574269069</v>
      </c>
      <c r="E26" s="1">
        <f t="shared" si="8"/>
        <v>112747.15425641408</v>
      </c>
      <c r="F26" s="1">
        <f t="shared" si="8"/>
        <v>1649952.8677557393</v>
      </c>
      <c r="G26" s="1">
        <f t="shared" si="8"/>
        <v>1824752.7700677158</v>
      </c>
      <c r="H26" s="1">
        <f t="shared" si="8"/>
        <v>674060.26858458854</v>
      </c>
      <c r="I26" s="1">
        <f t="shared" si="8"/>
        <v>260690.37840292612</v>
      </c>
      <c r="J26" s="1">
        <f t="shared" si="8"/>
        <v>214998.3263006575</v>
      </c>
      <c r="K26" s="1">
        <f t="shared" si="8"/>
        <v>306906.73418176878</v>
      </c>
      <c r="L26" s="1">
        <f t="shared" si="8"/>
        <v>206814.01743236493</v>
      </c>
      <c r="M26" s="1">
        <f t="shared" si="8"/>
        <v>143209.8438377181</v>
      </c>
      <c r="N26" s="1">
        <f t="shared" si="8"/>
        <v>19025.086229825749</v>
      </c>
      <c r="O26" s="1"/>
      <c r="P26" s="1"/>
      <c r="Q26" s="1">
        <f>Q13*$C26</f>
        <v>308357.28258566582</v>
      </c>
      <c r="R26" s="1">
        <f>R13*$C26</f>
        <v>194.53911250058221</v>
      </c>
      <c r="S26" s="1"/>
      <c r="T26" s="113">
        <f t="shared" si="4"/>
        <v>6990312.8261747919</v>
      </c>
      <c r="V26" s="1">
        <f>[2]FY19_HR_cost_estimates!C31</f>
        <v>7284681.2408759994</v>
      </c>
      <c r="W26" s="113">
        <f t="shared" si="2"/>
        <v>-294368.41470120754</v>
      </c>
      <c r="X26" s="100" t="s">
        <v>47</v>
      </c>
    </row>
    <row r="27" spans="1:24" x14ac:dyDescent="0.2">
      <c r="A27" s="100" t="s">
        <v>48</v>
      </c>
      <c r="B27" s="111" t="s">
        <v>37</v>
      </c>
      <c r="C27" s="112">
        <f>[2]fy19_bnft_proj_by_component!B169</f>
        <v>9.6035039947817244E-2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>Q13*$C27</f>
        <v>11317910.242901014</v>
      </c>
      <c r="R27" s="1">
        <f>R13*$C27</f>
        <v>7140.3412157244229</v>
      </c>
      <c r="S27" s="1"/>
      <c r="T27" s="113">
        <f t="shared" si="4"/>
        <v>11325050.584116738</v>
      </c>
      <c r="V27" s="1">
        <f>[2]FY19_HR_cost_estimates!C38</f>
        <v>11261513.098727999</v>
      </c>
      <c r="W27" s="113">
        <f t="shared" si="2"/>
        <v>63537.485388739035</v>
      </c>
    </row>
    <row r="28" spans="1:24" x14ac:dyDescent="0.2">
      <c r="A28" s="100" t="s">
        <v>49</v>
      </c>
      <c r="B28" s="111" t="s">
        <v>50</v>
      </c>
      <c r="C28" s="3">
        <f>[2]fy19_bnft_proj_by_component!B186</f>
        <v>9597.7102780286696</v>
      </c>
      <c r="D28" s="1">
        <f t="shared" ref="D28:J33" si="9">D$15*$C28</f>
        <v>45425962.745909691</v>
      </c>
      <c r="E28" s="1">
        <f t="shared" si="9"/>
        <v>7006328.5029609287</v>
      </c>
      <c r="F28" s="1">
        <f t="shared" si="9"/>
        <v>89095544.510940135</v>
      </c>
      <c r="G28" s="1">
        <f t="shared" si="9"/>
        <v>90199281.192913443</v>
      </c>
      <c r="H28" s="1">
        <f t="shared" si="9"/>
        <v>5000407.0548529364</v>
      </c>
      <c r="I28" s="1">
        <f t="shared" si="9"/>
        <v>23907896.302569415</v>
      </c>
      <c r="J28" s="1">
        <f t="shared" si="9"/>
        <v>22314676.396416657</v>
      </c>
      <c r="K28" s="1"/>
      <c r="L28" s="1"/>
      <c r="M28" s="1"/>
      <c r="N28" s="1"/>
      <c r="O28" s="1">
        <f t="shared" ref="O28:O33" si="10">O$15*$C28</f>
        <v>38390.841112114678</v>
      </c>
      <c r="P28" s="1"/>
      <c r="Q28" s="1"/>
      <c r="R28" s="1"/>
      <c r="S28" s="1"/>
      <c r="T28" s="113">
        <f t="shared" si="4"/>
        <v>282988487.54767531</v>
      </c>
      <c r="V28" s="1">
        <f>[2]FY19_HR_cost_estimates!C29</f>
        <v>282976980.22597504</v>
      </c>
      <c r="W28" s="113">
        <f t="shared" si="2"/>
        <v>11507.321700274944</v>
      </c>
    </row>
    <row r="29" spans="1:24" x14ac:dyDescent="0.2">
      <c r="A29" s="100" t="s">
        <v>51</v>
      </c>
      <c r="B29" s="111" t="s">
        <v>50</v>
      </c>
      <c r="C29" s="3">
        <f>[2]fy19_bnft_proj_by_component!B204</f>
        <v>11.573681532982873</v>
      </c>
      <c r="D29" s="1">
        <f t="shared" si="9"/>
        <v>54778.234695607935</v>
      </c>
      <c r="E29" s="1">
        <f t="shared" si="9"/>
        <v>8448.7875190774976</v>
      </c>
      <c r="F29" s="1">
        <f t="shared" si="9"/>
        <v>107438.48567068001</v>
      </c>
      <c r="G29" s="1">
        <f t="shared" si="9"/>
        <v>108769.45904697303</v>
      </c>
      <c r="H29" s="1">
        <f t="shared" si="9"/>
        <v>6029.8880786840764</v>
      </c>
      <c r="I29" s="1">
        <f t="shared" si="9"/>
        <v>28830.040698660334</v>
      </c>
      <c r="J29" s="1">
        <f t="shared" si="9"/>
        <v>26908.80956418518</v>
      </c>
      <c r="K29" s="1"/>
      <c r="L29" s="1"/>
      <c r="M29" s="1"/>
      <c r="N29" s="1"/>
      <c r="O29" s="1">
        <f t="shared" si="10"/>
        <v>46.29472613193149</v>
      </c>
      <c r="P29" s="1"/>
      <c r="Q29" s="1"/>
      <c r="R29" s="1"/>
      <c r="S29" s="1"/>
      <c r="T29" s="113">
        <f t="shared" si="4"/>
        <v>341250.00000000006</v>
      </c>
      <c r="V29" s="1">
        <f>[2]FY19_HR_cost_estimates!C30</f>
        <v>341250</v>
      </c>
      <c r="W29" s="113">
        <f t="shared" si="2"/>
        <v>0</v>
      </c>
    </row>
    <row r="30" spans="1:24" x14ac:dyDescent="0.2">
      <c r="A30" s="100" t="s">
        <v>52</v>
      </c>
      <c r="B30" s="111" t="s">
        <v>50</v>
      </c>
      <c r="C30" s="3">
        <f>[2]fy19_bnft_proj_by_component!B219</f>
        <v>49.511021899406565</v>
      </c>
      <c r="D30" s="1">
        <f t="shared" si="9"/>
        <v>234335.66664989127</v>
      </c>
      <c r="E30" s="1">
        <f t="shared" si="9"/>
        <v>36143.045986566794</v>
      </c>
      <c r="F30" s="1">
        <f t="shared" si="9"/>
        <v>459610.81629219116</v>
      </c>
      <c r="G30" s="1">
        <f t="shared" si="9"/>
        <v>465304.58381062292</v>
      </c>
      <c r="H30" s="1">
        <f t="shared" si="9"/>
        <v>25795.242409590821</v>
      </c>
      <c r="I30" s="1">
        <f t="shared" si="9"/>
        <v>123331.95555142175</v>
      </c>
      <c r="J30" s="1">
        <f t="shared" si="9"/>
        <v>115113.12591612026</v>
      </c>
      <c r="K30" s="1"/>
      <c r="L30" s="1"/>
      <c r="M30" s="1"/>
      <c r="N30" s="1"/>
      <c r="O30" s="1">
        <f t="shared" si="10"/>
        <v>198.04408759762626</v>
      </c>
      <c r="P30" s="1"/>
      <c r="Q30" s="1"/>
      <c r="R30" s="1"/>
      <c r="S30" s="1"/>
      <c r="T30" s="113">
        <f t="shared" si="4"/>
        <v>1459832.4807040025</v>
      </c>
      <c r="V30" s="1">
        <f>[2]FY19_HR_cost_estimates!C36</f>
        <v>1431893.748871</v>
      </c>
      <c r="W30" s="113">
        <f t="shared" si="2"/>
        <v>27938.73183300253</v>
      </c>
    </row>
    <row r="31" spans="1:24" x14ac:dyDescent="0.2">
      <c r="A31" s="100" t="s">
        <v>53</v>
      </c>
      <c r="B31" s="111" t="s">
        <v>50</v>
      </c>
      <c r="C31" s="3">
        <f>[2]fy19_bnft_proj_by_component!B235</f>
        <v>486.86889544768519</v>
      </c>
      <c r="D31" s="1">
        <f t="shared" si="9"/>
        <v>2304350.4821538939</v>
      </c>
      <c r="E31" s="1">
        <f t="shared" si="9"/>
        <v>355414.29367681016</v>
      </c>
      <c r="F31" s="1">
        <f t="shared" si="9"/>
        <v>4519603.9564408613</v>
      </c>
      <c r="G31" s="1">
        <f t="shared" si="9"/>
        <v>4575593.8794173459</v>
      </c>
      <c r="H31" s="1">
        <f t="shared" si="9"/>
        <v>253658.69452824397</v>
      </c>
      <c r="I31" s="1">
        <f t="shared" si="9"/>
        <v>1212790.4185601838</v>
      </c>
      <c r="J31" s="1">
        <f t="shared" si="9"/>
        <v>1131970.1819158681</v>
      </c>
      <c r="K31" s="1"/>
      <c r="L31" s="1"/>
      <c r="M31" s="1"/>
      <c r="N31" s="1"/>
      <c r="O31" s="1">
        <f t="shared" si="10"/>
        <v>1947.4755817907408</v>
      </c>
      <c r="P31" s="1"/>
      <c r="Q31" s="1"/>
      <c r="R31" s="1"/>
      <c r="S31" s="1"/>
      <c r="T31" s="113">
        <f t="shared" si="4"/>
        <v>14355329.382275</v>
      </c>
      <c r="V31" s="1">
        <f>[2]FY19_HR_cost_estimates!C37</f>
        <v>14355329.382275</v>
      </c>
      <c r="W31" s="113">
        <f t="shared" si="2"/>
        <v>0</v>
      </c>
    </row>
    <row r="32" spans="1:24" x14ac:dyDescent="0.2">
      <c r="A32" s="100" t="s">
        <v>54</v>
      </c>
      <c r="B32" s="111" t="s">
        <v>50</v>
      </c>
      <c r="C32" s="3">
        <f>[2]fy19_bnft_proj_by_component!B251</f>
        <v>828.2426568297102</v>
      </c>
      <c r="D32" s="1">
        <f t="shared" si="9"/>
        <v>3920072.4947750182</v>
      </c>
      <c r="E32" s="1">
        <f t="shared" si="9"/>
        <v>604617.13948568841</v>
      </c>
      <c r="F32" s="1">
        <f t="shared" si="9"/>
        <v>7688576.5833502002</v>
      </c>
      <c r="G32" s="1">
        <f t="shared" si="9"/>
        <v>7783824.4888856169</v>
      </c>
      <c r="H32" s="1">
        <f t="shared" si="9"/>
        <v>431514.424208279</v>
      </c>
      <c r="I32" s="1">
        <f t="shared" si="9"/>
        <v>2063152.4581628081</v>
      </c>
      <c r="J32" s="1">
        <f t="shared" si="9"/>
        <v>1925664.1771290763</v>
      </c>
      <c r="K32" s="1"/>
      <c r="L32" s="1"/>
      <c r="M32" s="1"/>
      <c r="N32" s="1"/>
      <c r="O32" s="1">
        <f t="shared" si="10"/>
        <v>3312.9706273188408</v>
      </c>
      <c r="P32" s="1"/>
      <c r="Q32" s="1"/>
      <c r="R32" s="1"/>
      <c r="S32" s="1"/>
      <c r="T32" s="113">
        <f t="shared" si="4"/>
        <v>24420734.736624002</v>
      </c>
      <c r="V32" s="1">
        <f>[2]FY19_HR_cost_estimates!C39</f>
        <v>24420734.736624002</v>
      </c>
      <c r="W32" s="113">
        <f t="shared" si="2"/>
        <v>0</v>
      </c>
    </row>
    <row r="33" spans="1:23" x14ac:dyDescent="0.2">
      <c r="A33" s="114" t="s">
        <v>55</v>
      </c>
      <c r="B33" s="111" t="s">
        <v>50</v>
      </c>
      <c r="C33" s="3">
        <f>[2]fy19_bnft_proj_by_component!B267</f>
        <v>326.597443875191</v>
      </c>
      <c r="D33" s="1">
        <f t="shared" si="9"/>
        <v>1545785.7018612791</v>
      </c>
      <c r="E33" s="1">
        <f t="shared" si="9"/>
        <v>238416.13402888944</v>
      </c>
      <c r="F33" s="1">
        <f t="shared" si="9"/>
        <v>3031804.0714933979</v>
      </c>
      <c r="G33" s="1">
        <f t="shared" si="9"/>
        <v>3069362.7775390451</v>
      </c>
      <c r="H33" s="1">
        <f t="shared" si="9"/>
        <v>170157.26825897451</v>
      </c>
      <c r="I33" s="1">
        <f t="shared" si="9"/>
        <v>813554.23269310081</v>
      </c>
      <c r="J33" s="1">
        <f t="shared" si="9"/>
        <v>759339.05700981908</v>
      </c>
      <c r="K33" s="1"/>
      <c r="L33" s="1"/>
      <c r="M33" s="1"/>
      <c r="N33" s="1"/>
      <c r="O33" s="1">
        <f t="shared" si="10"/>
        <v>1306.389775500764</v>
      </c>
      <c r="P33" s="1"/>
      <c r="Q33" s="1"/>
      <c r="R33" s="1"/>
      <c r="S33" s="1"/>
      <c r="T33" s="113">
        <f t="shared" si="4"/>
        <v>9629725.632660009</v>
      </c>
      <c r="V33" s="1">
        <f>[2]FY19_HR_cost_estimates!C40</f>
        <v>9629725.6326600015</v>
      </c>
      <c r="W33" s="113">
        <f t="shared" si="2"/>
        <v>0</v>
      </c>
    </row>
    <row r="34" spans="1:23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3" x14ac:dyDescent="0.2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3" ht="13.5" thickBot="1" x14ac:dyDescent="0.25">
      <c r="A36" s="100" t="s">
        <v>56</v>
      </c>
      <c r="D36" s="4">
        <f t="shared" ref="D36:R36" si="11">SUM(D18:D35)</f>
        <v>133341134.85053273</v>
      </c>
      <c r="E36" s="4">
        <f t="shared" si="11"/>
        <v>15533497.450799188</v>
      </c>
      <c r="F36" s="4">
        <f t="shared" si="11"/>
        <v>208763542.04724607</v>
      </c>
      <c r="G36" s="4">
        <f t="shared" si="11"/>
        <v>224091901.81595346</v>
      </c>
      <c r="H36" s="4">
        <f t="shared" si="11"/>
        <v>48318198.261002451</v>
      </c>
      <c r="I36" s="4">
        <f t="shared" si="11"/>
        <v>44559450.767862298</v>
      </c>
      <c r="J36" s="4">
        <f t="shared" si="11"/>
        <v>40163828.635023996</v>
      </c>
      <c r="K36" s="4">
        <f t="shared" si="11"/>
        <v>18665572.416843612</v>
      </c>
      <c r="L36" s="4">
        <f t="shared" si="11"/>
        <v>12921002.261492677</v>
      </c>
      <c r="M36" s="4">
        <f t="shared" si="11"/>
        <v>279492.31289561163</v>
      </c>
      <c r="N36" s="4">
        <f t="shared" si="11"/>
        <v>68674.377052219177</v>
      </c>
      <c r="O36" s="4">
        <f t="shared" si="11"/>
        <v>45202.015910454589</v>
      </c>
      <c r="P36" s="4">
        <f t="shared" si="11"/>
        <v>0</v>
      </c>
      <c r="Q36" s="4">
        <f t="shared" si="11"/>
        <v>11919708.888849784</v>
      </c>
      <c r="R36" s="4">
        <f t="shared" si="11"/>
        <v>7842.5641755512615</v>
      </c>
      <c r="S36" s="1"/>
      <c r="T36" s="115">
        <f>SUM(D36:S36)</f>
        <v>758679048.66564023</v>
      </c>
      <c r="V36" s="113">
        <f>SUM(V18:V33)</f>
        <v>756251837.67470908</v>
      </c>
      <c r="W36" s="113">
        <f>T36-V36</f>
        <v>2427210.9909311533</v>
      </c>
    </row>
    <row r="37" spans="1:23" ht="13.5" thickTop="1" x14ac:dyDescent="0.2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"/>
    </row>
    <row r="38" spans="1:23" x14ac:dyDescent="0.2">
      <c r="A38" s="99" t="s">
        <v>57</v>
      </c>
      <c r="D38" s="95">
        <f t="shared" ref="D38:R38" si="12">D36/D13</f>
        <v>0.27501469975374504</v>
      </c>
      <c r="E38" s="95">
        <f t="shared" si="12"/>
        <v>0.36048014338600121</v>
      </c>
      <c r="F38" s="95">
        <f t="shared" si="12"/>
        <v>0.33105549747518548</v>
      </c>
      <c r="G38" s="95">
        <f t="shared" si="12"/>
        <v>0.32132152279723386</v>
      </c>
      <c r="H38" s="95">
        <f t="shared" si="12"/>
        <v>0.18755544986404143</v>
      </c>
      <c r="I38" s="95">
        <f t="shared" si="12"/>
        <v>0.44723163145707395</v>
      </c>
      <c r="J38" s="95">
        <f t="shared" si="12"/>
        <v>0.48878482263476442</v>
      </c>
      <c r="K38" s="95">
        <f t="shared" si="12"/>
        <v>0.15913018981261604</v>
      </c>
      <c r="L38" s="95">
        <f t="shared" si="12"/>
        <v>0.16346843965375474</v>
      </c>
      <c r="M38" s="95">
        <f t="shared" si="12"/>
        <v>5.1063982452487309E-3</v>
      </c>
      <c r="N38" s="95">
        <f t="shared" si="12"/>
        <v>9.4446480863874215E-3</v>
      </c>
      <c r="O38" s="95">
        <f t="shared" si="12"/>
        <v>2.9268496165882972E-2</v>
      </c>
      <c r="P38" s="95" t="e">
        <f t="shared" si="12"/>
        <v>#DIV/0!</v>
      </c>
      <c r="Q38" s="95">
        <f t="shared" si="12"/>
        <v>0.10114143819306597</v>
      </c>
      <c r="R38" s="95">
        <f t="shared" si="12"/>
        <v>0.10547968803420467</v>
      </c>
      <c r="S38" s="1"/>
    </row>
    <row r="39" spans="1:23" x14ac:dyDescent="0.2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"/>
    </row>
    <row r="40" spans="1:23" x14ac:dyDescent="0.2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"/>
    </row>
    <row r="41" spans="1:23" x14ac:dyDescent="0.2">
      <c r="A41" s="100" t="s">
        <v>58</v>
      </c>
      <c r="D41" s="5">
        <f>D36-D72</f>
        <v>123389652.20290923</v>
      </c>
      <c r="E41" s="6"/>
      <c r="F41" s="5">
        <f>F36-E72</f>
        <v>181662558.39553022</v>
      </c>
      <c r="G41" s="6"/>
      <c r="H41" s="6"/>
      <c r="I41" s="5">
        <f>I36-F72</f>
        <v>44231863.183394544</v>
      </c>
      <c r="J41" s="6"/>
      <c r="K41" s="5">
        <f>K36-G72</f>
        <v>15130749.308001349</v>
      </c>
      <c r="L41" s="6"/>
      <c r="M41" s="5">
        <f>M36</f>
        <v>279492.31289561163</v>
      </c>
      <c r="N41" s="6"/>
      <c r="O41" s="5">
        <f>O36</f>
        <v>45202.015910454589</v>
      </c>
      <c r="P41" s="6"/>
      <c r="Q41" s="5">
        <f>Q36-I72</f>
        <v>8255014.5293283574</v>
      </c>
      <c r="R41" s="6"/>
      <c r="S41" s="1"/>
    </row>
    <row r="42" spans="1:23" x14ac:dyDescent="0.2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"/>
    </row>
    <row r="43" spans="1:23" x14ac:dyDescent="0.2">
      <c r="A43" s="100" t="s">
        <v>59</v>
      </c>
      <c r="D43" s="5">
        <f>D13-D74</f>
        <v>448241255.97908407</v>
      </c>
      <c r="E43" s="6"/>
      <c r="F43" s="5">
        <f>F13-E74</f>
        <v>547531097.00688124</v>
      </c>
      <c r="G43" s="6"/>
      <c r="H43" s="6"/>
      <c r="I43" s="5">
        <f>I13-F74</f>
        <v>98887842.089063987</v>
      </c>
      <c r="J43" s="6"/>
      <c r="K43" s="5">
        <f>K13-G74</f>
        <v>95084090.114004016</v>
      </c>
      <c r="L43" s="6"/>
      <c r="M43" s="5">
        <f>M13</f>
        <v>54733747.638203971</v>
      </c>
      <c r="N43" s="6"/>
      <c r="O43" s="5">
        <f>O13</f>
        <v>1544391.473148</v>
      </c>
      <c r="P43" s="6"/>
      <c r="Q43" s="5">
        <f>Q13-I74</f>
        <v>78174292.08761999</v>
      </c>
      <c r="R43" s="6"/>
      <c r="S43" s="1"/>
    </row>
    <row r="44" spans="1:23" x14ac:dyDescent="0.2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"/>
    </row>
    <row r="45" spans="1:23" x14ac:dyDescent="0.2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"/>
    </row>
    <row r="46" spans="1:23" x14ac:dyDescent="0.2">
      <c r="A46" s="99" t="s">
        <v>270</v>
      </c>
      <c r="D46" s="6"/>
      <c r="E46" s="6"/>
      <c r="F46" s="96">
        <f>(F36+I36)/(F13+I13)</f>
        <v>0.34690670381107125</v>
      </c>
      <c r="G46" s="96">
        <f>(G36+J36)/(G13+J13)</f>
        <v>0.33897285743603234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"/>
    </row>
    <row r="47" spans="1:23" x14ac:dyDescent="0.2">
      <c r="D47" s="6"/>
      <c r="E47" s="6"/>
      <c r="F47" s="97" t="s">
        <v>30</v>
      </c>
      <c r="G47" s="97" t="s">
        <v>31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"/>
    </row>
    <row r="48" spans="1:23" x14ac:dyDescent="0.2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"/>
    </row>
    <row r="49" spans="1:19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">
      <c r="A50" s="99" t="s">
        <v>60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">
      <c r="A52" s="100" t="s">
        <v>61</v>
      </c>
      <c r="D52" s="7">
        <f>[2]fy19_salary_projection!B34</f>
        <v>7.5507085127850357E-2</v>
      </c>
      <c r="E52" s="7">
        <f>[2]fy19_salary_projection!C34</f>
        <v>0.13172971714704493</v>
      </c>
      <c r="F52" s="7">
        <f>[2]fy19_salary_projection!D34</f>
        <v>7.488418581257995E-3</v>
      </c>
      <c r="G52" s="7">
        <f>[2]fy19_salary_projection!E34</f>
        <v>0.18937662504539515</v>
      </c>
      <c r="H52" s="7"/>
      <c r="I52" s="8">
        <f>J84</f>
        <v>0.29932740147705716</v>
      </c>
      <c r="J52" s="1" t="s">
        <v>62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">
      <c r="D53" s="107" t="s">
        <v>14</v>
      </c>
      <c r="E53" s="107" t="s">
        <v>16</v>
      </c>
      <c r="F53" s="107" t="s">
        <v>18</v>
      </c>
      <c r="G53" s="107" t="s">
        <v>20</v>
      </c>
      <c r="H53" s="107"/>
      <c r="I53" s="107" t="s">
        <v>63</v>
      </c>
    </row>
    <row r="55" spans="1:19" x14ac:dyDescent="0.2">
      <c r="A55" s="100" t="s">
        <v>36</v>
      </c>
      <c r="D55" s="113">
        <f t="shared" ref="D55:D69" si="13">D18*D$52</f>
        <v>5143660.1763659269</v>
      </c>
      <c r="E55" s="113">
        <f t="shared" ref="E55:E66" si="14">F18*E$52</f>
        <v>0</v>
      </c>
      <c r="F55" s="113">
        <f t="shared" ref="F55:F66" si="15">I18*F$52</f>
        <v>0</v>
      </c>
      <c r="G55" s="113">
        <f t="shared" ref="G55:G66" si="16">K18*G$52</f>
        <v>3120983.1860136669</v>
      </c>
      <c r="H55" s="113"/>
      <c r="I55" s="116">
        <f t="shared" ref="I55:I66" si="17">(M18+O18+Q18)*I$52</f>
        <v>0</v>
      </c>
    </row>
    <row r="56" spans="1:19" x14ac:dyDescent="0.2">
      <c r="A56" s="100" t="s">
        <v>38</v>
      </c>
      <c r="D56" s="113">
        <f t="shared" si="13"/>
        <v>0</v>
      </c>
      <c r="E56" s="113">
        <f t="shared" si="14"/>
        <v>11671157.672564298</v>
      </c>
      <c r="F56" s="113">
        <f t="shared" si="15"/>
        <v>104827.14389165404</v>
      </c>
      <c r="G56" s="113">
        <f t="shared" si="16"/>
        <v>0</v>
      </c>
      <c r="H56" s="113"/>
      <c r="I56" s="116">
        <f t="shared" si="17"/>
        <v>0</v>
      </c>
    </row>
    <row r="57" spans="1:19" x14ac:dyDescent="0.2">
      <c r="A57" s="100" t="s">
        <v>40</v>
      </c>
      <c r="D57" s="113">
        <f t="shared" si="13"/>
        <v>482458.65957372764</v>
      </c>
      <c r="E57" s="113">
        <f t="shared" si="14"/>
        <v>1094716.7762465363</v>
      </c>
      <c r="F57" s="113">
        <f t="shared" si="15"/>
        <v>9832.4464670684174</v>
      </c>
      <c r="G57" s="113">
        <f t="shared" si="16"/>
        <v>292738.11115961534</v>
      </c>
      <c r="H57" s="113"/>
      <c r="I57" s="116">
        <f t="shared" si="17"/>
        <v>0</v>
      </c>
    </row>
    <row r="58" spans="1:19" x14ac:dyDescent="0.2">
      <c r="A58" s="100" t="s">
        <v>41</v>
      </c>
      <c r="D58" s="113">
        <f t="shared" si="13"/>
        <v>99651.924025275221</v>
      </c>
      <c r="E58" s="113">
        <f t="shared" si="14"/>
        <v>226113.94956015545</v>
      </c>
      <c r="F58" s="113">
        <f t="shared" si="15"/>
        <v>2030.8936089666245</v>
      </c>
      <c r="G58" s="113">
        <f t="shared" si="16"/>
        <v>0</v>
      </c>
      <c r="H58" s="113"/>
      <c r="I58" s="116">
        <f t="shared" si="17"/>
        <v>0</v>
      </c>
    </row>
    <row r="59" spans="1:19" x14ac:dyDescent="0.2">
      <c r="A59" s="100" t="s">
        <v>42</v>
      </c>
      <c r="D59" s="113">
        <f t="shared" si="13"/>
        <v>104325.02214992509</v>
      </c>
      <c r="E59" s="113">
        <f t="shared" si="14"/>
        <v>236717.38430546687</v>
      </c>
      <c r="F59" s="113">
        <f t="shared" si="15"/>
        <v>2126.1307577548228</v>
      </c>
      <c r="G59" s="113">
        <f t="shared" si="16"/>
        <v>0</v>
      </c>
      <c r="H59" s="113"/>
      <c r="I59" s="116">
        <f t="shared" si="17"/>
        <v>0</v>
      </c>
    </row>
    <row r="60" spans="1:19" x14ac:dyDescent="0.2">
      <c r="A60" s="100" t="s">
        <v>43</v>
      </c>
      <c r="D60" s="113">
        <f t="shared" si="13"/>
        <v>12643.035220155125</v>
      </c>
      <c r="E60" s="113">
        <f t="shared" si="14"/>
        <v>28687.52064769308</v>
      </c>
      <c r="F60" s="113">
        <f t="shared" si="15"/>
        <v>257.6634588614715</v>
      </c>
      <c r="G60" s="113">
        <f t="shared" si="16"/>
        <v>7671.3272240626338</v>
      </c>
      <c r="H60" s="113"/>
      <c r="I60" s="116">
        <f t="shared" si="17"/>
        <v>0</v>
      </c>
    </row>
    <row r="61" spans="1:19" x14ac:dyDescent="0.2">
      <c r="A61" s="100" t="s">
        <v>44</v>
      </c>
      <c r="D61" s="113">
        <f t="shared" si="13"/>
        <v>91155.053863137844</v>
      </c>
      <c r="E61" s="113">
        <f t="shared" si="14"/>
        <v>206834.23278546054</v>
      </c>
      <c r="F61" s="113">
        <f t="shared" si="15"/>
        <v>1857.7284696349725</v>
      </c>
      <c r="G61" s="113">
        <f t="shared" si="16"/>
        <v>55309.522921870441</v>
      </c>
      <c r="H61" s="113"/>
      <c r="I61" s="113">
        <f t="shared" si="17"/>
        <v>128628.11811133941</v>
      </c>
    </row>
    <row r="62" spans="1:19" x14ac:dyDescent="0.2">
      <c r="A62" s="100" t="s">
        <v>45</v>
      </c>
      <c r="D62" s="113">
        <f t="shared" si="13"/>
        <v>0</v>
      </c>
      <c r="E62" s="113">
        <f t="shared" si="14"/>
        <v>0</v>
      </c>
      <c r="F62" s="113">
        <f t="shared" si="15"/>
        <v>0</v>
      </c>
      <c r="G62" s="113">
        <f t="shared" si="16"/>
        <v>0</v>
      </c>
      <c r="H62" s="113"/>
      <c r="I62" s="113">
        <f t="shared" si="17"/>
        <v>0</v>
      </c>
    </row>
    <row r="63" spans="1:19" x14ac:dyDescent="0.2">
      <c r="A63" s="100" t="s">
        <v>64</v>
      </c>
      <c r="D63" s="113">
        <f t="shared" si="13"/>
        <v>95788.556804127264</v>
      </c>
      <c r="E63" s="113">
        <f t="shared" si="14"/>
        <v>217347.82457541916</v>
      </c>
      <c r="F63" s="113">
        <f t="shared" si="15"/>
        <v>1952.1586735876499</v>
      </c>
      <c r="G63" s="113">
        <f t="shared" si="16"/>
        <v>58120.96152304759</v>
      </c>
      <c r="H63" s="113"/>
      <c r="I63" s="113">
        <f t="shared" si="17"/>
        <v>135166.41454477329</v>
      </c>
    </row>
    <row r="64" spans="1:19" ht="10.5" customHeight="1" x14ac:dyDescent="0.2">
      <c r="A64" s="100" t="s">
        <v>48</v>
      </c>
      <c r="D64" s="113">
        <f t="shared" si="13"/>
        <v>0</v>
      </c>
      <c r="E64" s="113">
        <f t="shared" si="14"/>
        <v>0</v>
      </c>
      <c r="F64" s="113">
        <f t="shared" si="15"/>
        <v>0</v>
      </c>
      <c r="G64" s="113">
        <f t="shared" si="16"/>
        <v>0</v>
      </c>
      <c r="H64" s="113"/>
      <c r="I64" s="113">
        <f t="shared" si="17"/>
        <v>3387760.6631581294</v>
      </c>
    </row>
    <row r="65" spans="1:10" x14ac:dyDescent="0.2">
      <c r="A65" s="100" t="s">
        <v>49</v>
      </c>
      <c r="D65" s="113">
        <f t="shared" si="13"/>
        <v>3429982.0360699622</v>
      </c>
      <c r="E65" s="113">
        <f t="shared" si="14"/>
        <v>11736530.877488095</v>
      </c>
      <c r="F65" s="113">
        <f t="shared" si="15"/>
        <v>179032.33491095013</v>
      </c>
      <c r="G65" s="116">
        <f t="shared" si="16"/>
        <v>0</v>
      </c>
      <c r="H65" s="116"/>
      <c r="I65" s="113">
        <f t="shared" si="17"/>
        <v>11491.430710607861</v>
      </c>
    </row>
    <row r="66" spans="1:10" x14ac:dyDescent="0.2">
      <c r="A66" s="100" t="s">
        <v>51</v>
      </c>
      <c r="D66" s="113">
        <f t="shared" si="13"/>
        <v>4136.1448303146344</v>
      </c>
      <c r="E66" s="113">
        <f t="shared" si="14"/>
        <v>14152.841328105516</v>
      </c>
      <c r="F66" s="113">
        <f t="shared" si="15"/>
        <v>215.89141246627227</v>
      </c>
      <c r="G66" s="116">
        <f t="shared" si="16"/>
        <v>0</v>
      </c>
      <c r="H66" s="116"/>
      <c r="I66" s="113">
        <f t="shared" si="17"/>
        <v>13.857280075163066</v>
      </c>
    </row>
    <row r="67" spans="1:10" x14ac:dyDescent="0.2">
      <c r="A67" s="100" t="s">
        <v>52</v>
      </c>
      <c r="D67" s="113">
        <f t="shared" si="13"/>
        <v>17694.003130224904</v>
      </c>
      <c r="E67" s="113">
        <f>F30*E$52</f>
        <v>60544.402827892773</v>
      </c>
      <c r="F67" s="113">
        <f>I30*F$52</f>
        <v>923.56130761415181</v>
      </c>
      <c r="G67" s="113">
        <f>K30*G$52</f>
        <v>0</v>
      </c>
      <c r="H67" s="113"/>
      <c r="I67" s="113">
        <f>(M30+O30+Q30)*I$52</f>
        <v>59.280022118492155</v>
      </c>
    </row>
    <row r="68" spans="1:10" x14ac:dyDescent="0.2">
      <c r="A68" s="100" t="s">
        <v>53</v>
      </c>
      <c r="D68" s="113">
        <f t="shared" si="13"/>
        <v>173994.78802039707</v>
      </c>
      <c r="E68" s="113">
        <f>F31*E$52</f>
        <v>595366.15079861984</v>
      </c>
      <c r="F68" s="113">
        <f>I31*F$52</f>
        <v>9081.8823055177418</v>
      </c>
      <c r="G68" s="113">
        <f>K31*G$52</f>
        <v>0</v>
      </c>
      <c r="H68" s="113"/>
      <c r="I68" s="113">
        <f>(M31+O31+Q31)*I$52</f>
        <v>582.93280533744257</v>
      </c>
    </row>
    <row r="69" spans="1:10" x14ac:dyDescent="0.2">
      <c r="A69" s="100" t="s">
        <v>54</v>
      </c>
      <c r="D69" s="113">
        <f t="shared" si="13"/>
        <v>295993.24757032201</v>
      </c>
      <c r="E69" s="113">
        <f>F32*E$52</f>
        <v>1012814.018588115</v>
      </c>
      <c r="F69" s="113">
        <f>I32*F$52</f>
        <v>15449.749203674481</v>
      </c>
      <c r="G69" s="113">
        <f>K32*G$52</f>
        <v>0</v>
      </c>
      <c r="H69" s="113"/>
      <c r="I69" s="113">
        <f>(M32+O32+Q32)*I$52</f>
        <v>991.66288904516455</v>
      </c>
    </row>
    <row r="70" spans="1:10" x14ac:dyDescent="0.2">
      <c r="A70" s="117" t="s">
        <v>65</v>
      </c>
      <c r="B70" s="117"/>
      <c r="C70" s="117"/>
      <c r="D70" s="113"/>
      <c r="E70" s="113"/>
      <c r="F70" s="113"/>
      <c r="G70" s="113"/>
      <c r="H70" s="113"/>
      <c r="I70" s="113"/>
    </row>
    <row r="72" spans="1:10" ht="13.5" thickBot="1" x14ac:dyDescent="0.25">
      <c r="A72" s="100" t="s">
        <v>66</v>
      </c>
      <c r="D72" s="118">
        <f>SUM(D55:D71)</f>
        <v>9951482.6476234961</v>
      </c>
      <c r="E72" s="118">
        <f>SUM(E55:E71)</f>
        <v>27100983.65171586</v>
      </c>
      <c r="F72" s="118">
        <f>SUM(F55:F71)</f>
        <v>327587.5844677508</v>
      </c>
      <c r="G72" s="118">
        <f>SUM(G55:G71)</f>
        <v>3534823.108842263</v>
      </c>
      <c r="H72" s="118"/>
      <c r="I72" s="118">
        <f>SUM(I55:I71)</f>
        <v>3664694.3595214263</v>
      </c>
    </row>
    <row r="73" spans="1:10" ht="13.5" thickTop="1" x14ac:dyDescent="0.2"/>
    <row r="74" spans="1:10" ht="13.5" thickBot="1" x14ac:dyDescent="0.25">
      <c r="A74" s="100" t="s">
        <v>67</v>
      </c>
      <c r="D74" s="9">
        <f>[2]fy19_salary_projection!B29</f>
        <v>36609680.970575988</v>
      </c>
      <c r="E74" s="9">
        <f>[2]fy19_salary_projection!C29</f>
        <v>83068737.883019909</v>
      </c>
      <c r="F74" s="9">
        <f>[2]fy19_salary_projection!D29</f>
        <v>746100.66826800024</v>
      </c>
      <c r="G74" s="9">
        <f>[2]fy19_salary_projection!E29</f>
        <v>22213403.459172003</v>
      </c>
      <c r="H74" s="9"/>
      <c r="I74" s="9">
        <f>[2]fy19_salary_projection!H29</f>
        <v>39677590.402883999</v>
      </c>
    </row>
    <row r="75" spans="1:10" ht="13.5" thickTop="1" x14ac:dyDescent="0.2"/>
    <row r="77" spans="1:10" x14ac:dyDescent="0.2">
      <c r="A77" s="99" t="s">
        <v>68</v>
      </c>
    </row>
    <row r="78" spans="1:10" x14ac:dyDescent="0.2">
      <c r="E78" s="105" t="s">
        <v>69</v>
      </c>
      <c r="F78" s="105" t="s">
        <v>70</v>
      </c>
      <c r="G78" s="105" t="s">
        <v>71</v>
      </c>
      <c r="H78" s="105"/>
      <c r="I78" s="105" t="s">
        <v>72</v>
      </c>
    </row>
    <row r="79" spans="1:10" x14ac:dyDescent="0.2">
      <c r="D79" s="105" t="s">
        <v>71</v>
      </c>
      <c r="E79" s="105" t="s">
        <v>73</v>
      </c>
      <c r="F79" s="119" t="s">
        <v>74</v>
      </c>
      <c r="G79" s="119" t="s">
        <v>75</v>
      </c>
      <c r="H79" s="119"/>
      <c r="I79" s="119" t="s">
        <v>76</v>
      </c>
      <c r="J79" s="119"/>
    </row>
    <row r="80" spans="1:10" x14ac:dyDescent="0.2">
      <c r="D80" s="120" t="s">
        <v>77</v>
      </c>
      <c r="E80" s="120" t="s">
        <v>78</v>
      </c>
      <c r="F80" s="121" t="s">
        <v>79</v>
      </c>
      <c r="G80" s="121" t="s">
        <v>80</v>
      </c>
      <c r="H80" s="121"/>
      <c r="I80" s="107" t="s">
        <v>81</v>
      </c>
      <c r="J80" s="120" t="s">
        <v>82</v>
      </c>
    </row>
    <row r="82" spans="1:10" x14ac:dyDescent="0.2">
      <c r="A82" s="100" t="s">
        <v>83</v>
      </c>
      <c r="D82" s="1">
        <f>D84-D83</f>
        <v>5352192.3832920045</v>
      </c>
      <c r="E82" s="1">
        <f>E84-E83</f>
        <v>61630331.494643986</v>
      </c>
      <c r="F82" s="1">
        <f>M36+O36</f>
        <v>324694.32880606619</v>
      </c>
      <c r="G82" s="10">
        <f>F82/E82</f>
        <v>5.2684176919328089E-3</v>
      </c>
      <c r="H82" s="10"/>
      <c r="I82" s="1">
        <f>D82*G82</f>
        <v>28197.585042763621</v>
      </c>
    </row>
    <row r="83" spans="1:10" x14ac:dyDescent="0.2">
      <c r="A83" s="100" t="s">
        <v>84</v>
      </c>
      <c r="D83" s="11">
        <f>[2]fy19_salary_projection!N23*(1+[2]fy19_salary_projection!H25)*(1+[2]fy19_salary_projection!H27)</f>
        <v>34325398.019591995</v>
      </c>
      <c r="E83" s="11">
        <f>[2]fy19_salary_projection!H18+fy19_summary_bnft_projection!D83</f>
        <v>112499690.10721198</v>
      </c>
      <c r="F83" s="11">
        <f>Q36</f>
        <v>11919708.888849784</v>
      </c>
      <c r="G83" s="10">
        <f>F83/E83</f>
        <v>0.10595325976000756</v>
      </c>
      <c r="H83" s="10"/>
      <c r="I83" s="1">
        <f>D83*G83</f>
        <v>3636887.8127354798</v>
      </c>
    </row>
    <row r="84" spans="1:10" x14ac:dyDescent="0.2">
      <c r="A84" s="100" t="s">
        <v>85</v>
      </c>
      <c r="D84" s="1">
        <f>[2]fy19_salary_projection!H29</f>
        <v>39677590.402883999</v>
      </c>
      <c r="E84" s="1">
        <f>[2]fy19_salary_projection!F32+[2]fy19_salary_projection!G32+[2]fy19_salary_projection!H32</f>
        <v>174130021.60185596</v>
      </c>
      <c r="F84" s="12">
        <f>SUM(F82:F83)</f>
        <v>12244403.217655851</v>
      </c>
      <c r="G84" s="1"/>
      <c r="H84" s="1"/>
      <c r="I84" s="12">
        <f>SUM(I82:I83)</f>
        <v>3665085.3977782433</v>
      </c>
      <c r="J84" s="13">
        <f>I84/F84</f>
        <v>0.29932740147705716</v>
      </c>
    </row>
    <row r="85" spans="1:10" x14ac:dyDescent="0.2">
      <c r="D85" s="1"/>
      <c r="E85" s="1"/>
      <c r="F85" s="1"/>
      <c r="G85" s="1"/>
      <c r="H85" s="1"/>
      <c r="I85" s="1"/>
    </row>
  </sheetData>
  <mergeCells count="7">
    <mergeCell ref="Q8:R8"/>
    <mergeCell ref="D8:E8"/>
    <mergeCell ref="F8:H8"/>
    <mergeCell ref="I8:J8"/>
    <mergeCell ref="K8:L8"/>
    <mergeCell ref="M8:N8"/>
    <mergeCell ref="O8:P8"/>
  </mergeCells>
  <printOptions gridLines="1"/>
  <pageMargins left="0.5" right="0.5" top="0.5" bottom="0.5" header="0.5" footer="0.5"/>
  <pageSetup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Rate_Summary</vt:lpstr>
      <vt:lpstr>Components</vt:lpstr>
      <vt:lpstr>Distribution</vt:lpstr>
      <vt:lpstr>UNIV_Accts_and_Rates</vt:lpstr>
      <vt:lpstr>OSUMC_Programs_and_Rates</vt:lpstr>
      <vt:lpstr>OSP_Accts_and_Rates</vt:lpstr>
      <vt:lpstr>fy19_summary_bnft_projection</vt:lpstr>
      <vt:lpstr>Distribution!Print_Area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Gast</dc:creator>
  <cp:lastModifiedBy>Ewing, Thomas F.</cp:lastModifiedBy>
  <dcterms:created xsi:type="dcterms:W3CDTF">2015-06-15T18:46:11Z</dcterms:created>
  <dcterms:modified xsi:type="dcterms:W3CDTF">2018-06-01T12:52:01Z</dcterms:modified>
</cp:coreProperties>
</file>