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HR\Finance\Benefits\KG\Comp Rates\FY22\"/>
    </mc:Choice>
  </mc:AlternateContent>
  <xr:revisionPtr revIDLastSave="0" documentId="13_ncr:1_{365BF4FC-6AEC-4C71-9D66-424259D0BF6A}" xr6:coauthVersionLast="47" xr6:coauthVersionMax="47" xr10:uidLastSave="{00000000-0000-0000-0000-000000000000}"/>
  <bookViews>
    <workbookView xWindow="-108" yWindow="-108" windowWidth="23256" windowHeight="12576" tabRatio="853" activeTab="6" xr2:uid="{214401C3-DC75-4D25-935E-5D01DC7BBBEF}"/>
  </bookViews>
  <sheets>
    <sheet name="Rate Summary" sheetId="2" r:id="rId1"/>
    <sheet name="Components UNIV HS &amp; FGP" sheetId="3" r:id="rId2"/>
    <sheet name="Distribution Univ HS &amp; FGP" sheetId="6" r:id="rId3"/>
    <sheet name="Components OSP" sheetId="4" r:id="rId4"/>
    <sheet name="Distribution OSP" sheetId="5" r:id="rId5"/>
    <sheet name="fy22_summary_bnft_projection" sheetId="1" r:id="rId6"/>
    <sheet name="Rate by Spend Cat" sheetId="7" r:id="rId7"/>
  </sheets>
  <definedNames>
    <definedName name="_xlnm._FilterDatabase" localSheetId="4" hidden="1">'Distribution OSP'!$A$5:$K$23</definedName>
    <definedName name="_xlnm._FilterDatabase" localSheetId="2" hidden="1">'Distribution Univ HS &amp; FGP'!$A$4:$U$24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3" l="1"/>
  <c r="Q12" i="3"/>
  <c r="P12" i="3"/>
  <c r="O12" i="3"/>
  <c r="L96" i="1"/>
  <c r="R26" i="3" l="1"/>
  <c r="R28" i="3" s="1"/>
  <c r="Q26" i="3"/>
  <c r="P26" i="3"/>
  <c r="O26" i="3"/>
  <c r="R24" i="3"/>
  <c r="Q24" i="3"/>
  <c r="P24" i="3"/>
  <c r="O24" i="3"/>
  <c r="Q28" i="3" l="1"/>
  <c r="R8" i="6"/>
  <c r="R13" i="6"/>
  <c r="R22" i="6"/>
  <c r="R20" i="6"/>
  <c r="R18" i="6"/>
  <c r="R16" i="6"/>
  <c r="R14" i="6"/>
  <c r="R10" i="6"/>
  <c r="R7" i="6"/>
  <c r="R5" i="6"/>
  <c r="R23" i="6"/>
  <c r="R21" i="6"/>
  <c r="R19" i="6"/>
  <c r="R17" i="6"/>
  <c r="R15" i="6"/>
  <c r="R11" i="6"/>
  <c r="R9" i="6"/>
  <c r="R6" i="6"/>
  <c r="S8" i="6"/>
  <c r="S13" i="6"/>
  <c r="S22" i="6"/>
  <c r="S20" i="6"/>
  <c r="S18" i="6"/>
  <c r="S16" i="6"/>
  <c r="S14" i="6"/>
  <c r="S10" i="6"/>
  <c r="S7" i="6"/>
  <c r="S5" i="6"/>
  <c r="S23" i="6"/>
  <c r="S21" i="6"/>
  <c r="S19" i="6"/>
  <c r="S17" i="6"/>
  <c r="S15" i="6"/>
  <c r="S11" i="6"/>
  <c r="S9" i="6"/>
  <c r="S6" i="6"/>
  <c r="U10" i="6"/>
  <c r="U16" i="6"/>
  <c r="U5" i="6"/>
  <c r="U18" i="6"/>
  <c r="U8" i="6"/>
  <c r="U23" i="6"/>
  <c r="U21" i="6"/>
  <c r="U19" i="6"/>
  <c r="U17" i="6"/>
  <c r="U15" i="6"/>
  <c r="U11" i="6"/>
  <c r="U9" i="6"/>
  <c r="U6" i="6"/>
  <c r="U13" i="6"/>
  <c r="U22" i="6"/>
  <c r="U20" i="6"/>
  <c r="U14" i="6"/>
  <c r="U7" i="6"/>
  <c r="T22" i="6"/>
  <c r="T20" i="6"/>
  <c r="T18" i="6"/>
  <c r="T16" i="6"/>
  <c r="T14" i="6"/>
  <c r="T10" i="6"/>
  <c r="T7" i="6"/>
  <c r="T5" i="6"/>
  <c r="T23" i="6"/>
  <c r="T21" i="6"/>
  <c r="T19" i="6"/>
  <c r="T17" i="6"/>
  <c r="T15" i="6"/>
  <c r="T11" i="6"/>
  <c r="T9" i="6"/>
  <c r="T6" i="6"/>
  <c r="T8" i="6"/>
  <c r="T13" i="6"/>
  <c r="O28" i="3"/>
  <c r="P28" i="3"/>
  <c r="T12" i="6" l="1"/>
  <c r="U24" i="6"/>
  <c r="U28" i="6" s="1"/>
  <c r="R24" i="6"/>
  <c r="R28" i="6" s="1"/>
  <c r="R12" i="6"/>
  <c r="T24" i="6"/>
  <c r="T28" i="6" s="1"/>
  <c r="U12" i="6"/>
  <c r="S24" i="6"/>
  <c r="S28" i="6" s="1"/>
  <c r="S12" i="6"/>
  <c r="J27" i="5"/>
  <c r="J14" i="5"/>
  <c r="G12" i="4" l="1"/>
  <c r="G11" i="4"/>
  <c r="G10" i="4"/>
  <c r="G9" i="4"/>
  <c r="G8" i="4"/>
  <c r="C8" i="4"/>
  <c r="C11" i="4"/>
  <c r="C10" i="4"/>
  <c r="C9" i="4"/>
  <c r="E12" i="4"/>
  <c r="D12" i="4"/>
  <c r="C27" i="4"/>
  <c r="E23" i="4"/>
  <c r="D23" i="4"/>
  <c r="C23" i="4"/>
  <c r="B23" i="4"/>
  <c r="G12" i="5" l="1"/>
  <c r="J12" i="5" s="1"/>
  <c r="G9" i="5"/>
  <c r="G11" i="5"/>
  <c r="J11" i="5" s="1"/>
  <c r="G10" i="5"/>
  <c r="J10" i="5" s="1"/>
  <c r="G23" i="4"/>
  <c r="F9" i="5"/>
  <c r="F17" i="5"/>
  <c r="F7" i="5"/>
  <c r="F20" i="5"/>
  <c r="F27" i="5"/>
  <c r="F14" i="5"/>
  <c r="F16" i="5"/>
  <c r="F6" i="5"/>
  <c r="F22" i="5"/>
  <c r="F11" i="5"/>
  <c r="F10" i="5"/>
  <c r="F19" i="5"/>
  <c r="F8" i="5"/>
  <c r="F23" i="5"/>
  <c r="F15" i="5"/>
  <c r="F12" i="5"/>
  <c r="F18" i="5"/>
  <c r="F21" i="5"/>
  <c r="H12" i="5"/>
  <c r="H11" i="5"/>
  <c r="H10" i="5"/>
  <c r="H9" i="5"/>
  <c r="C12" i="4"/>
  <c r="C29" i="4"/>
  <c r="H13" i="5" l="1"/>
  <c r="J9" i="5"/>
  <c r="G13" i="5"/>
  <c r="J13" i="5" s="1"/>
  <c r="F25" i="5"/>
  <c r="F29" i="5" s="1"/>
  <c r="F13" i="5"/>
  <c r="K27" i="1"/>
  <c r="K24" i="1"/>
  <c r="L24" i="3" l="1"/>
  <c r="K24" i="3"/>
  <c r="J24" i="3"/>
  <c r="I24" i="3"/>
  <c r="H24" i="3"/>
  <c r="L12" i="3"/>
  <c r="K12" i="3"/>
  <c r="F24" i="3"/>
  <c r="E24" i="3"/>
  <c r="D24" i="3"/>
  <c r="C24" i="3"/>
  <c r="F21" i="6" s="1"/>
  <c r="B24" i="3"/>
  <c r="E21" i="6" s="1"/>
  <c r="O8" i="6" l="1"/>
  <c r="O13" i="6"/>
  <c r="O9" i="6"/>
  <c r="O11" i="6"/>
  <c r="O10" i="6"/>
  <c r="N9" i="6"/>
  <c r="N13" i="6"/>
  <c r="N8" i="6"/>
  <c r="N11" i="6"/>
  <c r="N10" i="6"/>
  <c r="J105" i="1"/>
  <c r="H105" i="1"/>
  <c r="E105" i="1"/>
  <c r="D105" i="1"/>
  <c r="H74" i="1"/>
  <c r="G66" i="1"/>
  <c r="F64" i="1"/>
  <c r="E62" i="1"/>
  <c r="D62" i="1"/>
  <c r="Q36" i="1"/>
  <c r="I33" i="1"/>
  <c r="F32" i="1"/>
  <c r="E32" i="1"/>
  <c r="H22" i="3" s="1"/>
  <c r="K22" i="6" s="1"/>
  <c r="P43" i="1"/>
  <c r="N43" i="1"/>
  <c r="L26" i="1"/>
  <c r="J21" i="1"/>
  <c r="H26" i="1"/>
  <c r="L97" i="1" s="1"/>
  <c r="X5" i="1"/>
  <c r="O12" i="6" l="1"/>
  <c r="N12" i="6"/>
  <c r="K21" i="3"/>
  <c r="N21" i="6" s="1"/>
  <c r="K7" i="3"/>
  <c r="N7" i="6" s="1"/>
  <c r="K20" i="3"/>
  <c r="N20" i="6" s="1"/>
  <c r="K6" i="3"/>
  <c r="N6" i="6" s="1"/>
  <c r="K19" i="3"/>
  <c r="N19" i="6" s="1"/>
  <c r="K5" i="3"/>
  <c r="K17" i="3"/>
  <c r="N17" i="6" s="1"/>
  <c r="K16" i="3"/>
  <c r="N16" i="6" s="1"/>
  <c r="K22" i="3"/>
  <c r="N22" i="6" s="1"/>
  <c r="K23" i="3"/>
  <c r="N23" i="6" s="1"/>
  <c r="K15" i="3"/>
  <c r="N15" i="6" s="1"/>
  <c r="J13" i="3"/>
  <c r="J16" i="3"/>
  <c r="M16" i="6" s="1"/>
  <c r="J23" i="3"/>
  <c r="M23" i="6" s="1"/>
  <c r="J15" i="3"/>
  <c r="M15" i="6" s="1"/>
  <c r="J6" i="3"/>
  <c r="M6" i="6" s="1"/>
  <c r="J22" i="3"/>
  <c r="M22" i="6" s="1"/>
  <c r="J21" i="3"/>
  <c r="M21" i="6" s="1"/>
  <c r="J20" i="3"/>
  <c r="M20" i="6" s="1"/>
  <c r="J19" i="3"/>
  <c r="M19" i="6" s="1"/>
  <c r="R24" i="1"/>
  <c r="J32" i="1"/>
  <c r="E4" i="1"/>
  <c r="E6" i="1" s="1"/>
  <c r="H6" i="3"/>
  <c r="K6" i="6" s="1"/>
  <c r="H21" i="3"/>
  <c r="K21" i="6" s="1"/>
  <c r="I20" i="1"/>
  <c r="F57" i="1" s="1"/>
  <c r="L16" i="3"/>
  <c r="O16" i="6" s="1"/>
  <c r="L23" i="3"/>
  <c r="O23" i="6" s="1"/>
  <c r="L15" i="3"/>
  <c r="O15" i="6" s="1"/>
  <c r="L22" i="3"/>
  <c r="O22" i="6" s="1"/>
  <c r="L7" i="3"/>
  <c r="O7" i="6" s="1"/>
  <c r="L20" i="3"/>
  <c r="O20" i="6" s="1"/>
  <c r="L6" i="3"/>
  <c r="O6" i="6" s="1"/>
  <c r="L17" i="3"/>
  <c r="O17" i="6" s="1"/>
  <c r="L19" i="3"/>
  <c r="O19" i="6" s="1"/>
  <c r="L5" i="3"/>
  <c r="P28" i="1"/>
  <c r="I5" i="3"/>
  <c r="I21" i="3"/>
  <c r="L21" i="6" s="1"/>
  <c r="D32" i="1"/>
  <c r="S26" i="1"/>
  <c r="L14" i="3" s="1"/>
  <c r="O14" i="6" s="1"/>
  <c r="F43" i="1"/>
  <c r="I22" i="1"/>
  <c r="F59" i="1" s="1"/>
  <c r="S27" i="1"/>
  <c r="L21" i="3" s="1"/>
  <c r="O21" i="6" s="1"/>
  <c r="D56" i="1"/>
  <c r="B6" i="4" s="1"/>
  <c r="E7" i="5" s="1"/>
  <c r="E18" i="3"/>
  <c r="H18" i="6" s="1"/>
  <c r="E5" i="3"/>
  <c r="H5" i="6" s="1"/>
  <c r="E17" i="3"/>
  <c r="H17" i="6" s="1"/>
  <c r="E16" i="3"/>
  <c r="H16" i="6" s="1"/>
  <c r="E13" i="3"/>
  <c r="H13" i="6" s="1"/>
  <c r="E7" i="3"/>
  <c r="H7" i="6" s="1"/>
  <c r="E20" i="3"/>
  <c r="H20" i="6" s="1"/>
  <c r="E6" i="3"/>
  <c r="H6" i="6" s="1"/>
  <c r="E23" i="3"/>
  <c r="H23" i="6" s="1"/>
  <c r="E15" i="3"/>
  <c r="H15" i="6" s="1"/>
  <c r="E22" i="3"/>
  <c r="H22" i="6" s="1"/>
  <c r="E14" i="3"/>
  <c r="H14" i="6" s="1"/>
  <c r="E21" i="3"/>
  <c r="H21" i="6" s="1"/>
  <c r="E19" i="3"/>
  <c r="H19" i="6" s="1"/>
  <c r="J4" i="1"/>
  <c r="J6" i="1" s="1"/>
  <c r="J20" i="1"/>
  <c r="F24" i="1"/>
  <c r="E61" i="1" s="1"/>
  <c r="F4" i="1"/>
  <c r="F6" i="1" s="1"/>
  <c r="G69" i="1"/>
  <c r="D22" i="4" s="1"/>
  <c r="G63" i="1"/>
  <c r="D14" i="4" s="1"/>
  <c r="E18" i="1"/>
  <c r="H5" i="3" s="1"/>
  <c r="K5" i="6" s="1"/>
  <c r="S25" i="1"/>
  <c r="R27" i="1"/>
  <c r="E22" i="1"/>
  <c r="H16" i="3" s="1"/>
  <c r="K16" i="6" s="1"/>
  <c r="F26" i="1"/>
  <c r="E63" i="1" s="1"/>
  <c r="F31" i="1"/>
  <c r="W36" i="1"/>
  <c r="I26" i="1"/>
  <c r="F63" i="1" s="1"/>
  <c r="I23" i="1"/>
  <c r="F60" i="1" s="1"/>
  <c r="J26" i="1"/>
  <c r="D23" i="1"/>
  <c r="M23" i="1"/>
  <c r="J17" i="3" s="1"/>
  <c r="M17" i="6" s="1"/>
  <c r="L18" i="1"/>
  <c r="G55" i="1" s="1"/>
  <c r="D5" i="4" s="1"/>
  <c r="I30" i="1"/>
  <c r="F67" i="1" s="1"/>
  <c r="E69" i="1"/>
  <c r="N24" i="1"/>
  <c r="E33" i="1"/>
  <c r="H23" i="3" s="1"/>
  <c r="K23" i="6" s="1"/>
  <c r="O25" i="1"/>
  <c r="G33" i="1"/>
  <c r="I19" i="1"/>
  <c r="J22" i="1"/>
  <c r="N26" i="1"/>
  <c r="I28" i="1"/>
  <c r="F65" i="1" s="1"/>
  <c r="F33" i="1"/>
  <c r="E55" i="1"/>
  <c r="E64" i="1"/>
  <c r="H64" i="1" s="1"/>
  <c r="E25" i="1"/>
  <c r="H18" i="3" s="1"/>
  <c r="K18" i="6" s="1"/>
  <c r="J30" i="1"/>
  <c r="G22" i="1"/>
  <c r="K22" i="1" s="1"/>
  <c r="I16" i="3" s="1"/>
  <c r="L16" i="6" s="1"/>
  <c r="H33" i="1"/>
  <c r="L104" i="1" s="1"/>
  <c r="H19" i="1"/>
  <c r="E21" i="1"/>
  <c r="H15" i="3" s="1"/>
  <c r="K15" i="6" s="1"/>
  <c r="O26" i="1"/>
  <c r="K14" i="3" s="1"/>
  <c r="N14" i="6" s="1"/>
  <c r="J28" i="1"/>
  <c r="E31" i="1"/>
  <c r="H20" i="3" s="1"/>
  <c r="K20" i="6" s="1"/>
  <c r="F55" i="1"/>
  <c r="H21" i="1"/>
  <c r="L92" i="1" s="1"/>
  <c r="E68" i="1"/>
  <c r="H68" i="1" s="1"/>
  <c r="Q38" i="1"/>
  <c r="I24" i="1"/>
  <c r="F61" i="1" s="1"/>
  <c r="R43" i="1"/>
  <c r="I21" i="1"/>
  <c r="F58" i="1" s="1"/>
  <c r="J23" i="1"/>
  <c r="E29" i="1"/>
  <c r="E20" i="1"/>
  <c r="H7" i="3" s="1"/>
  <c r="K7" i="6" s="1"/>
  <c r="E26" i="1"/>
  <c r="H14" i="3" s="1"/>
  <c r="K14" i="6" s="1"/>
  <c r="F29" i="1"/>
  <c r="E66" i="1" s="1"/>
  <c r="I32" i="1"/>
  <c r="F69" i="1" s="1"/>
  <c r="D64" i="1"/>
  <c r="B21" i="4" s="1"/>
  <c r="E22" i="5" s="1"/>
  <c r="E82" i="1"/>
  <c r="I105" i="1"/>
  <c r="G105" i="1"/>
  <c r="F105" i="1"/>
  <c r="D60" i="1"/>
  <c r="B17" i="4" s="1"/>
  <c r="E18" i="5" s="1"/>
  <c r="D69" i="1"/>
  <c r="B22" i="4" s="1"/>
  <c r="E23" i="5" s="1"/>
  <c r="F56" i="1"/>
  <c r="F20" i="1"/>
  <c r="E57" i="1" s="1"/>
  <c r="H57" i="1" s="1"/>
  <c r="H24" i="1"/>
  <c r="L95" i="1" s="1"/>
  <c r="G29" i="1"/>
  <c r="K29" i="1" s="1"/>
  <c r="P30" i="1"/>
  <c r="P32" i="1"/>
  <c r="H4" i="1"/>
  <c r="H6" i="1" s="1"/>
  <c r="I4" i="1"/>
  <c r="I6" i="1" s="1"/>
  <c r="H20" i="1"/>
  <c r="L91" i="1" s="1"/>
  <c r="H22" i="1"/>
  <c r="L93" i="1" s="1"/>
  <c r="E23" i="1"/>
  <c r="H17" i="3" s="1"/>
  <c r="K17" i="6" s="1"/>
  <c r="L24" i="1"/>
  <c r="G61" i="1" s="1"/>
  <c r="D18" i="4" s="1"/>
  <c r="G25" i="1"/>
  <c r="D26" i="1"/>
  <c r="M26" i="1"/>
  <c r="J14" i="3" s="1"/>
  <c r="M14" i="6" s="1"/>
  <c r="E28" i="1"/>
  <c r="H13" i="3" s="1"/>
  <c r="I29" i="1"/>
  <c r="F66" i="1" s="1"/>
  <c r="E30" i="1"/>
  <c r="H19" i="3" s="1"/>
  <c r="K19" i="6" s="1"/>
  <c r="I31" i="1"/>
  <c r="F68" i="1" s="1"/>
  <c r="I43" i="1"/>
  <c r="G68" i="1"/>
  <c r="D20" i="4" s="1"/>
  <c r="U13" i="1"/>
  <c r="D21" i="1"/>
  <c r="F23" i="1"/>
  <c r="E60" i="1" s="1"/>
  <c r="H60" i="1" s="1"/>
  <c r="J25" i="1"/>
  <c r="F28" i="1"/>
  <c r="E65" i="1" s="1"/>
  <c r="J29" i="1"/>
  <c r="F30" i="1"/>
  <c r="E67" i="1" s="1"/>
  <c r="J31" i="1"/>
  <c r="J33" i="1"/>
  <c r="L43" i="1"/>
  <c r="F62" i="1"/>
  <c r="H62" i="1" s="1"/>
  <c r="G65" i="1"/>
  <c r="D13" i="4" s="1"/>
  <c r="G13" i="4" s="1"/>
  <c r="D82" i="1"/>
  <c r="G28" i="1"/>
  <c r="K28" i="1" s="1"/>
  <c r="P29" i="1"/>
  <c r="G30" i="1"/>
  <c r="K30" i="1" s="1"/>
  <c r="I19" i="3" s="1"/>
  <c r="L19" i="6" s="1"/>
  <c r="P31" i="1"/>
  <c r="G32" i="1"/>
  <c r="K32" i="1" s="1"/>
  <c r="I22" i="3" s="1"/>
  <c r="L22" i="6" s="1"/>
  <c r="P33" i="1"/>
  <c r="G62" i="1"/>
  <c r="D4" i="1"/>
  <c r="D6" i="1" s="1"/>
  <c r="D18" i="1"/>
  <c r="F19" i="1"/>
  <c r="L20" i="1"/>
  <c r="G57" i="1" s="1"/>
  <c r="D7" i="4" s="1"/>
  <c r="F21" i="1"/>
  <c r="E58" i="1" s="1"/>
  <c r="H58" i="1" s="1"/>
  <c r="H23" i="1"/>
  <c r="L94" i="1" s="1"/>
  <c r="G26" i="1"/>
  <c r="K26" i="1" s="1"/>
  <c r="I14" i="3" s="1"/>
  <c r="L14" i="6" s="1"/>
  <c r="R26" i="1"/>
  <c r="R36" i="1" s="1"/>
  <c r="H28" i="1"/>
  <c r="L99" i="1" s="1"/>
  <c r="D29" i="1"/>
  <c r="H30" i="1"/>
  <c r="L101" i="1" s="1"/>
  <c r="D31" i="1"/>
  <c r="H32" i="1"/>
  <c r="L103" i="1" s="1"/>
  <c r="D33" i="1"/>
  <c r="G59" i="1"/>
  <c r="D16" i="4" s="1"/>
  <c r="G67" i="1"/>
  <c r="D19" i="4" s="1"/>
  <c r="G23" i="1"/>
  <c r="K23" i="1" s="1"/>
  <c r="I17" i="3" s="1"/>
  <c r="L17" i="6" s="1"/>
  <c r="M25" i="1"/>
  <c r="J18" i="3" s="1"/>
  <c r="M18" i="6" s="1"/>
  <c r="G19" i="1"/>
  <c r="K19" i="1" s="1"/>
  <c r="I6" i="3" s="1"/>
  <c r="L6" i="6" s="1"/>
  <c r="D20" i="1"/>
  <c r="M20" i="1"/>
  <c r="J7" i="3" s="1"/>
  <c r="M7" i="6" s="1"/>
  <c r="G21" i="1"/>
  <c r="K21" i="1" s="1"/>
  <c r="I15" i="3" s="1"/>
  <c r="L15" i="6" s="1"/>
  <c r="D22" i="1"/>
  <c r="D24" i="1"/>
  <c r="G56" i="1"/>
  <c r="D6" i="4" s="1"/>
  <c r="G64" i="1"/>
  <c r="D21" i="4" s="1"/>
  <c r="L23" i="1"/>
  <c r="G60" i="1" s="1"/>
  <c r="D17" i="4" s="1"/>
  <c r="G31" i="1"/>
  <c r="K31" i="1" s="1"/>
  <c r="I20" i="3" s="1"/>
  <c r="L20" i="6" s="1"/>
  <c r="G58" i="1"/>
  <c r="D15" i="4" s="1"/>
  <c r="G4" i="1"/>
  <c r="G6" i="1" s="1"/>
  <c r="M18" i="1"/>
  <c r="J5" i="3" s="1"/>
  <c r="F22" i="1"/>
  <c r="E59" i="1" s="1"/>
  <c r="H59" i="1" s="1"/>
  <c r="D43" i="1"/>
  <c r="D109" i="1" s="1"/>
  <c r="J19" i="1"/>
  <c r="G20" i="1"/>
  <c r="K20" i="1" s="1"/>
  <c r="I7" i="3" s="1"/>
  <c r="L7" i="6" s="1"/>
  <c r="D28" i="1"/>
  <c r="H29" i="1"/>
  <c r="L100" i="1" s="1"/>
  <c r="D30" i="1"/>
  <c r="H31" i="1"/>
  <c r="L102" i="1" s="1"/>
  <c r="H65" i="1" l="1"/>
  <c r="H55" i="1"/>
  <c r="H66" i="1"/>
  <c r="L105" i="1"/>
  <c r="G16" i="5"/>
  <c r="J16" i="5" s="1"/>
  <c r="G15" i="4"/>
  <c r="G6" i="5"/>
  <c r="G5" i="4"/>
  <c r="D27" i="4"/>
  <c r="D29" i="4" s="1"/>
  <c r="H63" i="1"/>
  <c r="H61" i="1"/>
  <c r="L5" i="6"/>
  <c r="M5" i="6"/>
  <c r="J26" i="3"/>
  <c r="J28" i="3" s="1"/>
  <c r="G8" i="5"/>
  <c r="J8" i="5" s="1"/>
  <c r="G7" i="4"/>
  <c r="G21" i="5"/>
  <c r="J21" i="5" s="1"/>
  <c r="G20" i="4"/>
  <c r="K25" i="1"/>
  <c r="I18" i="3" s="1"/>
  <c r="L18" i="6" s="1"/>
  <c r="N5" i="6"/>
  <c r="H67" i="1"/>
  <c r="G19" i="5"/>
  <c r="J19" i="5" s="1"/>
  <c r="G18" i="4"/>
  <c r="K33" i="1"/>
  <c r="I23" i="3" s="1"/>
  <c r="L23" i="6" s="1"/>
  <c r="O5" i="6"/>
  <c r="L26" i="3"/>
  <c r="L28" i="3" s="1"/>
  <c r="G17" i="5"/>
  <c r="J17" i="5" s="1"/>
  <c r="G16" i="4"/>
  <c r="G18" i="5"/>
  <c r="J18" i="5" s="1"/>
  <c r="G17" i="4"/>
  <c r="G22" i="5"/>
  <c r="J22" i="5" s="1"/>
  <c r="G21" i="4"/>
  <c r="I13" i="3"/>
  <c r="O36" i="1"/>
  <c r="O38" i="1" s="1"/>
  <c r="K18" i="3"/>
  <c r="N18" i="6" s="1"/>
  <c r="S36" i="1"/>
  <c r="S38" i="1" s="1"/>
  <c r="L18" i="3"/>
  <c r="O18" i="6" s="1"/>
  <c r="M13" i="6"/>
  <c r="J8" i="3"/>
  <c r="J9" i="3"/>
  <c r="M9" i="6" s="1"/>
  <c r="J11" i="3"/>
  <c r="M11" i="6" s="1"/>
  <c r="J10" i="3"/>
  <c r="M10" i="6" s="1"/>
  <c r="K13" i="6"/>
  <c r="H11" i="3"/>
  <c r="K11" i="6" s="1"/>
  <c r="H8" i="3"/>
  <c r="H10" i="3"/>
  <c r="K10" i="6" s="1"/>
  <c r="H9" i="3"/>
  <c r="K9" i="6" s="1"/>
  <c r="G7" i="5"/>
  <c r="J7" i="5" s="1"/>
  <c r="G6" i="4"/>
  <c r="G20" i="5"/>
  <c r="J20" i="5" s="1"/>
  <c r="G19" i="4"/>
  <c r="G15" i="5"/>
  <c r="J15" i="5" s="1"/>
  <c r="G14" i="4"/>
  <c r="H69" i="1"/>
  <c r="G23" i="5"/>
  <c r="J23" i="5" s="1"/>
  <c r="G22" i="4"/>
  <c r="U32" i="1"/>
  <c r="X32" i="1" s="1"/>
  <c r="D16" i="3"/>
  <c r="G16" i="6" s="1"/>
  <c r="D23" i="3"/>
  <c r="G23" i="6" s="1"/>
  <c r="D15" i="3"/>
  <c r="G15" i="6" s="1"/>
  <c r="D7" i="3"/>
  <c r="G7" i="6" s="1"/>
  <c r="D22" i="3"/>
  <c r="G22" i="6" s="1"/>
  <c r="D14" i="3"/>
  <c r="G14" i="6" s="1"/>
  <c r="D6" i="3"/>
  <c r="G6" i="6" s="1"/>
  <c r="D21" i="3"/>
  <c r="G21" i="6" s="1"/>
  <c r="D5" i="3"/>
  <c r="D20" i="3"/>
  <c r="G20" i="6" s="1"/>
  <c r="D17" i="3"/>
  <c r="G17" i="6" s="1"/>
  <c r="D19" i="3"/>
  <c r="G19" i="6" s="1"/>
  <c r="D18" i="3"/>
  <c r="G18" i="6" s="1"/>
  <c r="D13" i="3"/>
  <c r="G13" i="6" s="1"/>
  <c r="E26" i="3"/>
  <c r="E28" i="3" s="1"/>
  <c r="U27" i="1"/>
  <c r="X27" i="1" s="1"/>
  <c r="H26" i="3"/>
  <c r="H28" i="3" s="1"/>
  <c r="B23" i="3"/>
  <c r="E23" i="6" s="1"/>
  <c r="B7" i="3"/>
  <c r="E7" i="6" s="1"/>
  <c r="B22" i="3"/>
  <c r="E22" i="6" s="1"/>
  <c r="B6" i="3"/>
  <c r="E6" i="6" s="1"/>
  <c r="B20" i="3"/>
  <c r="E20" i="6" s="1"/>
  <c r="B5" i="3"/>
  <c r="E5" i="6" s="1"/>
  <c r="B19" i="3"/>
  <c r="E19" i="6" s="1"/>
  <c r="B18" i="3"/>
  <c r="E18" i="6" s="1"/>
  <c r="B13" i="3"/>
  <c r="E13" i="6" s="1"/>
  <c r="B16" i="3"/>
  <c r="E16" i="6" s="1"/>
  <c r="B17" i="3"/>
  <c r="E17" i="6" s="1"/>
  <c r="B15" i="3"/>
  <c r="E15" i="6" s="1"/>
  <c r="B14" i="3"/>
  <c r="E14" i="6" s="1"/>
  <c r="F17" i="3"/>
  <c r="I17" i="6" s="1"/>
  <c r="F7" i="3"/>
  <c r="I7" i="6" s="1"/>
  <c r="F21" i="3"/>
  <c r="I21" i="6" s="1"/>
  <c r="F16" i="3"/>
  <c r="I16" i="6" s="1"/>
  <c r="F6" i="3"/>
  <c r="I6" i="6" s="1"/>
  <c r="F14" i="3"/>
  <c r="I14" i="6" s="1"/>
  <c r="F15" i="3"/>
  <c r="I15" i="6" s="1"/>
  <c r="F5" i="3"/>
  <c r="I5" i="6" s="1"/>
  <c r="F13" i="3"/>
  <c r="I13" i="6" s="1"/>
  <c r="F20" i="3"/>
  <c r="I20" i="6" s="1"/>
  <c r="F18" i="3"/>
  <c r="I18" i="6" s="1"/>
  <c r="F23" i="3"/>
  <c r="I23" i="6" s="1"/>
  <c r="F22" i="3"/>
  <c r="I22" i="6" s="1"/>
  <c r="F19" i="3"/>
  <c r="I19" i="6" s="1"/>
  <c r="N36" i="1"/>
  <c r="N38" i="1" s="1"/>
  <c r="E10" i="3"/>
  <c r="H10" i="6" s="1"/>
  <c r="E11" i="3"/>
  <c r="H11" i="6" s="1"/>
  <c r="E8" i="3"/>
  <c r="H8" i="6" s="1"/>
  <c r="E9" i="3"/>
  <c r="H9" i="6" s="1"/>
  <c r="G43" i="1"/>
  <c r="F72" i="1"/>
  <c r="U25" i="1"/>
  <c r="X25" i="1" s="1"/>
  <c r="E36" i="1"/>
  <c r="E38" i="1" s="1"/>
  <c r="H36" i="1"/>
  <c r="H38" i="1" s="1"/>
  <c r="G72" i="1"/>
  <c r="U23" i="1"/>
  <c r="X23" i="1" s="1"/>
  <c r="U28" i="1"/>
  <c r="X28" i="1" s="1"/>
  <c r="D65" i="1"/>
  <c r="D58" i="1"/>
  <c r="B15" i="4" s="1"/>
  <c r="E16" i="5" s="1"/>
  <c r="U21" i="1"/>
  <c r="X21" i="1" s="1"/>
  <c r="P36" i="1"/>
  <c r="D57" i="1"/>
  <c r="B7" i="4" s="1"/>
  <c r="E8" i="5" s="1"/>
  <c r="U20" i="1"/>
  <c r="X20" i="1" s="1"/>
  <c r="D68" i="1"/>
  <c r="B20" i="4" s="1"/>
  <c r="E21" i="5" s="1"/>
  <c r="U31" i="1"/>
  <c r="X31" i="1" s="1"/>
  <c r="D63" i="1"/>
  <c r="B14" i="4" s="1"/>
  <c r="E15" i="5" s="1"/>
  <c r="U26" i="1"/>
  <c r="X26" i="1" s="1"/>
  <c r="J36" i="1"/>
  <c r="J38" i="1" s="1"/>
  <c r="G36" i="1"/>
  <c r="E56" i="1"/>
  <c r="F36" i="1"/>
  <c r="U19" i="1"/>
  <c r="X19" i="1" s="1"/>
  <c r="D66" i="1"/>
  <c r="U29" i="1"/>
  <c r="X29" i="1" s="1"/>
  <c r="F83" i="1"/>
  <c r="G83" i="1" s="1"/>
  <c r="I83" i="1" s="1"/>
  <c r="R38" i="1"/>
  <c r="U18" i="1"/>
  <c r="X18" i="1" s="1"/>
  <c r="D55" i="1"/>
  <c r="B5" i="4" s="1"/>
  <c r="D36" i="1"/>
  <c r="I36" i="1"/>
  <c r="M36" i="1"/>
  <c r="M38" i="1" s="1"/>
  <c r="U24" i="1"/>
  <c r="X24" i="1" s="1"/>
  <c r="D61" i="1"/>
  <c r="B18" i="4" s="1"/>
  <c r="E19" i="5" s="1"/>
  <c r="U30" i="1"/>
  <c r="X30" i="1" s="1"/>
  <c r="D67" i="1"/>
  <c r="B19" i="4" s="1"/>
  <c r="E20" i="5" s="1"/>
  <c r="U22" i="1"/>
  <c r="X22" i="1" s="1"/>
  <c r="D59" i="1"/>
  <c r="B16" i="4" s="1"/>
  <c r="E17" i="5" s="1"/>
  <c r="L36" i="1"/>
  <c r="H24" i="6" l="1"/>
  <c r="H28" i="6" s="1"/>
  <c r="O24" i="6"/>
  <c r="O28" i="6" s="1"/>
  <c r="U33" i="1"/>
  <c r="X33" i="1" s="1"/>
  <c r="L13" i="6"/>
  <c r="I11" i="3"/>
  <c r="L11" i="6" s="1"/>
  <c r="I10" i="3"/>
  <c r="L10" i="6" s="1"/>
  <c r="I9" i="3"/>
  <c r="L9" i="6" s="1"/>
  <c r="I8" i="3"/>
  <c r="B13" i="4"/>
  <c r="B27" i="4" s="1"/>
  <c r="B29" i="4" s="1"/>
  <c r="N41" i="1"/>
  <c r="J12" i="3"/>
  <c r="M8" i="6"/>
  <c r="M12" i="6" s="1"/>
  <c r="K8" i="6"/>
  <c r="H12" i="3"/>
  <c r="G27" i="4"/>
  <c r="G29" i="4" s="1"/>
  <c r="D26" i="3"/>
  <c r="D28" i="3" s="1"/>
  <c r="G5" i="6"/>
  <c r="K26" i="3"/>
  <c r="K28" i="3" s="1"/>
  <c r="J6" i="5"/>
  <c r="G25" i="5"/>
  <c r="E6" i="5"/>
  <c r="E72" i="1"/>
  <c r="E107" i="1" s="1"/>
  <c r="H56" i="1"/>
  <c r="H72" i="1" s="1"/>
  <c r="H12" i="6"/>
  <c r="N24" i="6"/>
  <c r="N28" i="6" s="1"/>
  <c r="I26" i="3"/>
  <c r="I28" i="3" s="1"/>
  <c r="F11" i="3"/>
  <c r="I11" i="6" s="1"/>
  <c r="F10" i="3"/>
  <c r="I10" i="6" s="1"/>
  <c r="F9" i="3"/>
  <c r="I9" i="6" s="1"/>
  <c r="F8" i="3"/>
  <c r="I8" i="6" s="1"/>
  <c r="F26" i="3"/>
  <c r="F28" i="3" s="1"/>
  <c r="D9" i="3"/>
  <c r="G9" i="6" s="1"/>
  <c r="D8" i="3"/>
  <c r="G8" i="6" s="1"/>
  <c r="D11" i="3"/>
  <c r="G11" i="6" s="1"/>
  <c r="D10" i="3"/>
  <c r="G10" i="6" s="1"/>
  <c r="B26" i="3"/>
  <c r="B28" i="3" s="1"/>
  <c r="H107" i="1"/>
  <c r="F107" i="1"/>
  <c r="C13" i="3"/>
  <c r="F13" i="6" s="1"/>
  <c r="C18" i="3"/>
  <c r="F18" i="6" s="1"/>
  <c r="C17" i="3"/>
  <c r="F17" i="6" s="1"/>
  <c r="C16" i="3"/>
  <c r="F16" i="6" s="1"/>
  <c r="C15" i="3"/>
  <c r="F15" i="6" s="1"/>
  <c r="C14" i="3"/>
  <c r="F14" i="6" s="1"/>
  <c r="C7" i="3"/>
  <c r="F7" i="6" s="1"/>
  <c r="C20" i="3"/>
  <c r="F20" i="6" s="1"/>
  <c r="C19" i="3"/>
  <c r="F19" i="6" s="1"/>
  <c r="C5" i="3"/>
  <c r="F5" i="6" s="1"/>
  <c r="C23" i="3"/>
  <c r="F23" i="6" s="1"/>
  <c r="C22" i="3"/>
  <c r="F22" i="6" s="1"/>
  <c r="C6" i="3"/>
  <c r="F6" i="6" s="1"/>
  <c r="B10" i="3"/>
  <c r="E10" i="6" s="1"/>
  <c r="B9" i="3"/>
  <c r="E9" i="6" s="1"/>
  <c r="B8" i="3"/>
  <c r="E8" i="6" s="1"/>
  <c r="B11" i="3"/>
  <c r="E11" i="6" s="1"/>
  <c r="E12" i="3"/>
  <c r="F46" i="1"/>
  <c r="F38" i="1"/>
  <c r="G38" i="1"/>
  <c r="G46" i="1"/>
  <c r="L38" i="1"/>
  <c r="L41" i="1"/>
  <c r="P41" i="1"/>
  <c r="P38" i="1"/>
  <c r="F82" i="1"/>
  <c r="I41" i="1"/>
  <c r="I38" i="1"/>
  <c r="U36" i="1"/>
  <c r="X36" i="1" s="1"/>
  <c r="D38" i="1"/>
  <c r="D72" i="1"/>
  <c r="D107" i="1" s="1"/>
  <c r="F41" i="1" l="1"/>
  <c r="E24" i="6"/>
  <c r="E28" i="6" s="1"/>
  <c r="G24" i="6"/>
  <c r="G28" i="6" s="1"/>
  <c r="E12" i="6"/>
  <c r="I12" i="6"/>
  <c r="E14" i="5"/>
  <c r="B8" i="4"/>
  <c r="B11" i="4"/>
  <c r="E12" i="5" s="1"/>
  <c r="B10" i="4"/>
  <c r="E11" i="5" s="1"/>
  <c r="B9" i="4"/>
  <c r="E10" i="5" s="1"/>
  <c r="L8" i="6"/>
  <c r="I12" i="3"/>
  <c r="G29" i="5"/>
  <c r="J29" i="5" s="1"/>
  <c r="J25" i="5"/>
  <c r="K12" i="6"/>
  <c r="K24" i="6"/>
  <c r="K28" i="6" s="1"/>
  <c r="G12" i="6"/>
  <c r="M24" i="6"/>
  <c r="M28" i="6" s="1"/>
  <c r="I24" i="6"/>
  <c r="I28" i="6" s="1"/>
  <c r="D12" i="3"/>
  <c r="C26" i="3"/>
  <c r="C28" i="3" s="1"/>
  <c r="C10" i="3"/>
  <c r="F10" i="6" s="1"/>
  <c r="C8" i="3"/>
  <c r="F8" i="6" s="1"/>
  <c r="C9" i="3"/>
  <c r="F9" i="6" s="1"/>
  <c r="C11" i="3"/>
  <c r="F11" i="6" s="1"/>
  <c r="B12" i="3"/>
  <c r="F12" i="3"/>
  <c r="D41" i="1"/>
  <c r="F84" i="1"/>
  <c r="G82" i="1"/>
  <c r="I82" i="1" s="1"/>
  <c r="I84" i="1" s="1"/>
  <c r="J84" i="1" s="1"/>
  <c r="I52" i="1" s="1"/>
  <c r="F12" i="6" l="1"/>
  <c r="F24" i="6"/>
  <c r="F28" i="6" s="1"/>
  <c r="L12" i="6"/>
  <c r="L24" i="6"/>
  <c r="L28" i="6" s="1"/>
  <c r="E9" i="5"/>
  <c r="B12" i="4"/>
  <c r="C12" i="3"/>
  <c r="I58" i="1"/>
  <c r="E15" i="4" s="1"/>
  <c r="H16" i="5" s="1"/>
  <c r="I64" i="1"/>
  <c r="E21" i="4" s="1"/>
  <c r="H22" i="5" s="1"/>
  <c r="I56" i="1"/>
  <c r="E6" i="4" s="1"/>
  <c r="H7" i="5" s="1"/>
  <c r="I59" i="1"/>
  <c r="E16" i="4" s="1"/>
  <c r="H17" i="5" s="1"/>
  <c r="I62" i="1"/>
  <c r="I57" i="1"/>
  <c r="E7" i="4" s="1"/>
  <c r="H8" i="5" s="1"/>
  <c r="I60" i="1"/>
  <c r="E17" i="4" s="1"/>
  <c r="H18" i="5" s="1"/>
  <c r="I55" i="1"/>
  <c r="E5" i="4" s="1"/>
  <c r="I65" i="1"/>
  <c r="I61" i="1"/>
  <c r="E18" i="4" s="1"/>
  <c r="H19" i="5" s="1"/>
  <c r="I68" i="1"/>
  <c r="E20" i="4" s="1"/>
  <c r="H21" i="5" s="1"/>
  <c r="I66" i="1"/>
  <c r="I67" i="1"/>
  <c r="E19" i="4" s="1"/>
  <c r="H20" i="5" s="1"/>
  <c r="I69" i="1"/>
  <c r="E22" i="4" s="1"/>
  <c r="H23" i="5" s="1"/>
  <c r="I63" i="1"/>
  <c r="E14" i="4" s="1"/>
  <c r="H15" i="5" s="1"/>
  <c r="H6" i="5" l="1"/>
  <c r="H25" i="5" s="1"/>
  <c r="H29" i="5" s="1"/>
  <c r="E27" i="4"/>
  <c r="E29" i="4" s="1"/>
  <c r="E25" i="5"/>
  <c r="E29" i="5" s="1"/>
  <c r="E13" i="5"/>
  <c r="I72" i="1"/>
  <c r="R41" i="1" s="1"/>
  <c r="J107" i="1" s="1"/>
</calcChain>
</file>

<file path=xl/sharedStrings.xml><?xml version="1.0" encoding="utf-8"?>
<sst xmlns="http://schemas.openxmlformats.org/spreadsheetml/2006/main" count="637" uniqueCount="264">
  <si>
    <t>The Ohio State University</t>
  </si>
  <si>
    <t>Summary of Projected Benefit Costs</t>
  </si>
  <si>
    <t>by Rate Group</t>
  </si>
  <si>
    <t>Proj Avg Sal per FTE -FY22</t>
  </si>
  <si>
    <t>PD Fellows</t>
  </si>
  <si>
    <t>Proj Avg Sal per FTE -FY21</t>
  </si>
  <si>
    <t>Mapped to Rate 2</t>
  </si>
  <si>
    <t>% Change</t>
  </si>
  <si>
    <t>for 20-21 Rates</t>
  </si>
  <si>
    <t>Faculty</t>
  </si>
  <si>
    <t>Unclassified</t>
  </si>
  <si>
    <t>Classified Civil Service</t>
  </si>
  <si>
    <t>Specials</t>
  </si>
  <si>
    <t>Students</t>
  </si>
  <si>
    <t>Grad Assistants</t>
  </si>
  <si>
    <t>Totals</t>
  </si>
  <si>
    <t>Primary</t>
  </si>
  <si>
    <t>% Rate/</t>
  </si>
  <si>
    <t>Rate 1</t>
  </si>
  <si>
    <t>Rate 11</t>
  </si>
  <si>
    <t>Rate 2</t>
  </si>
  <si>
    <t>Rate 12</t>
  </si>
  <si>
    <t>Rate 3</t>
  </si>
  <si>
    <t>Rate 13</t>
  </si>
  <si>
    <t>Rate 4</t>
  </si>
  <si>
    <t>Rate 14</t>
  </si>
  <si>
    <t>Rate 5</t>
  </si>
  <si>
    <t>Rate 15</t>
  </si>
  <si>
    <t>Rate 6</t>
  </si>
  <si>
    <t>Rate 16</t>
  </si>
  <si>
    <t>Rate 7</t>
  </si>
  <si>
    <t>Rate 17</t>
  </si>
  <si>
    <t>Cost Driver</t>
  </si>
  <si>
    <t>Cost per Head</t>
  </si>
  <si>
    <t>UNIV/OSP</t>
  </si>
  <si>
    <t>Health System</t>
  </si>
  <si>
    <t>UNIV/RF</t>
  </si>
  <si>
    <t>Group Practice</t>
  </si>
  <si>
    <t>Projected Salary</t>
  </si>
  <si>
    <t>Headcount (benefit-eligible FTE)</t>
  </si>
  <si>
    <t>HR Projected Costs</t>
  </si>
  <si>
    <t>Difference</t>
  </si>
  <si>
    <t>STRS</t>
  </si>
  <si>
    <t>Salary $</t>
  </si>
  <si>
    <t>PERS</t>
  </si>
  <si>
    <t>HR est inflated by headcounts and possibly above-guideline raises in HS</t>
  </si>
  <si>
    <t>Medicare</t>
  </si>
  <si>
    <t>Group Life</t>
  </si>
  <si>
    <t>Disability</t>
  </si>
  <si>
    <t>Unemployment Comp</t>
  </si>
  <si>
    <t>Workers Comp-UNIV/RF</t>
  </si>
  <si>
    <t>Workers Comp-Health System</t>
  </si>
  <si>
    <t>Other Benefit Admin Costs</t>
  </si>
  <si>
    <t>HR medical plan cost projection (below) also includes these general benefit admin costs</t>
  </si>
  <si>
    <t>Student Insurance</t>
  </si>
  <si>
    <t>Medical Plans</t>
  </si>
  <si>
    <t>Headcount</t>
  </si>
  <si>
    <t>Affordable Care Act Fees</t>
  </si>
  <si>
    <t>Vision</t>
  </si>
  <si>
    <t>Dental</t>
  </si>
  <si>
    <t>Employee Tuition</t>
  </si>
  <si>
    <t>Dependent Tuition (UNIV-HS only)</t>
  </si>
  <si>
    <t>Total Projected Benefit Costs</t>
  </si>
  <si>
    <t>Projected Rates (excluding Stabilization DR/CR)</t>
  </si>
  <si>
    <t>Total Projected Benefit Costs - UNIV only</t>
  </si>
  <si>
    <t>Total Projected Salary/Wages - UNIV only</t>
  </si>
  <si>
    <t>Projected Combined Staff Rate (Unclassified and CCS)</t>
  </si>
  <si>
    <t>Projected Benefit Costs - RF Only:</t>
  </si>
  <si>
    <t>(UNIV/RF break-out by % of Projected Salary for Rates 1-4)</t>
  </si>
  <si>
    <t>(see below for Rate 5 % calc…)</t>
  </si>
  <si>
    <t>Combined 5/6/7</t>
  </si>
  <si>
    <t>COBRA Admin/Other Admin Costs</t>
  </si>
  <si>
    <t>NOTE: No dependent tuition costs included in RF rates</t>
  </si>
  <si>
    <t>Total Projected Benefit Costs (excluding add-ons)</t>
  </si>
  <si>
    <t>Total Projected RF Salary/Wages</t>
  </si>
  <si>
    <t>Rate 5 - Student/Grad/Fellow Weighted Average:</t>
  </si>
  <si>
    <t>Projected UNIV</t>
  </si>
  <si>
    <t>Total Projected</t>
  </si>
  <si>
    <t>Projected</t>
  </si>
  <si>
    <t>RF Projected</t>
  </si>
  <si>
    <t>Salary</t>
  </si>
  <si>
    <t>UNIV Benefit</t>
  </si>
  <si>
    <t>Benefit Cost</t>
  </si>
  <si>
    <t>Benefit</t>
  </si>
  <si>
    <t>RF Salary</t>
  </si>
  <si>
    <t>(incl. RF)</t>
  </si>
  <si>
    <t>Costs (incl. RF)</t>
  </si>
  <si>
    <t>per $ of Salary</t>
  </si>
  <si>
    <t>Costs</t>
  </si>
  <si>
    <t>% for Proration</t>
  </si>
  <si>
    <t>Students (undergrads) and Fellows</t>
  </si>
  <si>
    <t>Graduate Assistants</t>
  </si>
  <si>
    <t xml:space="preserve">    Total for RF Rate 5</t>
  </si>
  <si>
    <t>Univ only</t>
  </si>
  <si>
    <t>Rate 2+3</t>
  </si>
  <si>
    <t>UNIV ONLY</t>
  </si>
  <si>
    <t>University</t>
  </si>
  <si>
    <t>Rate 2/3</t>
  </si>
  <si>
    <t>Hlth Syst</t>
  </si>
  <si>
    <t>OSP</t>
  </si>
  <si>
    <t>FGP</t>
  </si>
  <si>
    <t>RCP10</t>
  </si>
  <si>
    <t>RCP15</t>
  </si>
  <si>
    <t>RCP25</t>
  </si>
  <si>
    <t>RCP STRS/ARP/NewHire</t>
  </si>
  <si>
    <t>MEDICARE</t>
  </si>
  <si>
    <t>Prime Care Advantage</t>
  </si>
  <si>
    <t>Prime Care Choice</t>
  </si>
  <si>
    <t>Out-Of-Area Plan</t>
  </si>
  <si>
    <t>Prime Care Connect</t>
  </si>
  <si>
    <t>Subtotal</t>
  </si>
  <si>
    <t>MEDICAL</t>
  </si>
  <si>
    <t>Benefit Admin</t>
  </si>
  <si>
    <t>GROUP LIFE</t>
  </si>
  <si>
    <t>LT DISABILITY</t>
  </si>
  <si>
    <t>UNEMPLOYMENT COMP.</t>
  </si>
  <si>
    <t>WORKERS COMP</t>
  </si>
  <si>
    <t>GROUP VISION</t>
  </si>
  <si>
    <t>GROUP DENTAL</t>
  </si>
  <si>
    <t>GA Hlth Ins Subsidy</t>
  </si>
  <si>
    <t>EMPLOYEE TUITION</t>
  </si>
  <si>
    <t>DEPENDENT TUITION</t>
  </si>
  <si>
    <t>PUBLISHED RATE</t>
  </si>
  <si>
    <t>Rate</t>
  </si>
  <si>
    <t>Staff Comb</t>
  </si>
  <si>
    <t>Student</t>
  </si>
  <si>
    <t>GA</t>
  </si>
  <si>
    <t>Univ</t>
  </si>
  <si>
    <t>12+13</t>
  </si>
  <si>
    <t>Student/GA</t>
  </si>
  <si>
    <t>2+3</t>
  </si>
  <si>
    <t>Vacation/Sick</t>
  </si>
  <si>
    <t>In RCP</t>
  </si>
  <si>
    <t xml:space="preserve">  Subtotal - Base Rates (excluding RF add-ons)</t>
  </si>
  <si>
    <t>Add: Vac/Sick Termination Payments</t>
  </si>
  <si>
    <t xml:space="preserve">  Total Negotiated RF Fringe Rates</t>
  </si>
  <si>
    <t>Workers Comp</t>
  </si>
  <si>
    <t>Admin</t>
  </si>
  <si>
    <t>PJ106341</t>
  </si>
  <si>
    <t>PJ106284</t>
  </si>
  <si>
    <t>PJ106305</t>
  </si>
  <si>
    <t>PJ106410</t>
  </si>
  <si>
    <t>PJ106408</t>
  </si>
  <si>
    <t>PJ106421</t>
  </si>
  <si>
    <t>PJ106420</t>
  </si>
  <si>
    <t>PJ106432</t>
  </si>
  <si>
    <t>PJ106406</t>
  </si>
  <si>
    <t>PJ106309</t>
  </si>
  <si>
    <t>PJ106419</t>
  </si>
  <si>
    <t>PJ106422</t>
  </si>
  <si>
    <t>PJ106414</t>
  </si>
  <si>
    <t>PJ106401</t>
  </si>
  <si>
    <t>PJ106403</t>
  </si>
  <si>
    <t>PJ106400</t>
  </si>
  <si>
    <t>PJ106386</t>
  </si>
  <si>
    <t>TOTAL</t>
  </si>
  <si>
    <t>Check</t>
  </si>
  <si>
    <t>PJ106405</t>
  </si>
  <si>
    <t>RCP</t>
  </si>
  <si>
    <t>STRS/ARP</t>
  </si>
  <si>
    <t>Newhire</t>
  </si>
  <si>
    <t>PJ108393</t>
  </si>
  <si>
    <t>Name</t>
  </si>
  <si>
    <t>Fund</t>
  </si>
  <si>
    <t>Balancing Unit</t>
  </si>
  <si>
    <t>Project</t>
  </si>
  <si>
    <t>FD111 Designated Other Fund</t>
  </si>
  <si>
    <t>BL1210 General University | OHR Benefits</t>
  </si>
  <si>
    <t>BL1221 General University | Office of Sponsored Programs (OSP)</t>
  </si>
  <si>
    <t>Salary Spend Cat</t>
  </si>
  <si>
    <t>Sal Spend Cat Description</t>
  </si>
  <si>
    <t>SC10007</t>
  </si>
  <si>
    <t>Salaries | 9 month | Faculty Base | Clinical Track | Regular &gt;=50% (SC10007)</t>
  </si>
  <si>
    <t>SC10021</t>
  </si>
  <si>
    <t>Salaries | 9 month | Faculty Base |Research Track | Regular &gt;=50% (SC10021)</t>
  </si>
  <si>
    <t>SC10024</t>
  </si>
  <si>
    <t>Salaries | 9 month | Faculty Base | Tenure Track | Regular &gt;=50% (SC10024)</t>
  </si>
  <si>
    <t>SC10006</t>
  </si>
  <si>
    <t>Salaries | 12 month | Faculty Base | Clinical Track | Regular &gt;=50% (SC10006)</t>
  </si>
  <si>
    <t>SC10020</t>
  </si>
  <si>
    <t>Salaries | 12 month | Faculty Base | Research Track | Regular &gt;=50% (SC10020)</t>
  </si>
  <si>
    <t>SC10022</t>
  </si>
  <si>
    <t>Salaries | 12 month | Faculty Base | Tenure Track | Regular &gt;=50% (SC10022)</t>
  </si>
  <si>
    <t>SC10005</t>
  </si>
  <si>
    <t>Salaries | Clinical Instructor Base Health System | Regular or Term and &gt;=50% (SC10005)</t>
  </si>
  <si>
    <t>SC10010</t>
  </si>
  <si>
    <t>Salaries | Faculty Base |Term or Lecturers and &gt;=50% (SC10010)</t>
  </si>
  <si>
    <t>SC10001</t>
  </si>
  <si>
    <t>Salaries | Classified Civil Service Base | Regular &gt;=50% (SC10001)</t>
  </si>
  <si>
    <t>SC10008</t>
  </si>
  <si>
    <t>Salaries | Administrative Faculty Appointments Base | &gt;=50% (SC10008)</t>
  </si>
  <si>
    <t>SC10053</t>
  </si>
  <si>
    <t>Salaries | Unclassified Base | Regular &gt;=50% (SC10053)</t>
  </si>
  <si>
    <t>SC10056</t>
  </si>
  <si>
    <t>Salaries | Unclassified Base | Term &gt;=50% (SC10056)</t>
  </si>
  <si>
    <t>SC10057</t>
  </si>
  <si>
    <t>Salaries | Unclassified Base | Post Doctoral Scholar Base | Term &gt;=50% (SC10057)</t>
  </si>
  <si>
    <t>SC10004</t>
  </si>
  <si>
    <t>Salaries | Clinical Instructor Base Health System | Temporary &lt;50% (SC10004)</t>
  </si>
  <si>
    <t>SC10011</t>
  </si>
  <si>
    <t>Salaries | Faculty Base |  &lt;50% OR Temporary (SC10011)</t>
  </si>
  <si>
    <t>SC10002</t>
  </si>
  <si>
    <t>Salaries | Classified Civil Service Base | Regular &lt;50% OR Temporary (SC10002)</t>
  </si>
  <si>
    <t>SC10009</t>
  </si>
  <si>
    <t>Salaries | Administrative Faculty Appointments Base | &lt;50% (SC10009)</t>
  </si>
  <si>
    <t>SC10052</t>
  </si>
  <si>
    <t>Salaries | Unclassified Base | &lt; 50% OR Temporary (SC10052)</t>
  </si>
  <si>
    <t>SC10031</t>
  </si>
  <si>
    <t>Salaries | Student Non-FWS Biweekly Base | Underenrolled or Non OSU Student (SC10031)</t>
  </si>
  <si>
    <t>SC10049</t>
  </si>
  <si>
    <t>Salaries | Additional Pay with Retirement (SC10049)</t>
  </si>
  <si>
    <t>SC10050</t>
  </si>
  <si>
    <t>Salaries | Faculty Off Duty Pay (SC10050)</t>
  </si>
  <si>
    <t>SC10874</t>
  </si>
  <si>
    <t>Salaries | Compensatory Time Payout Current Year (SC10874)</t>
  </si>
  <si>
    <t>SC10003</t>
  </si>
  <si>
    <t>Salaries | Classified Civil Service Overtime (SC10003)</t>
  </si>
  <si>
    <t>SC10054</t>
  </si>
  <si>
    <t>Salaries | Unclassified Overtime (SC10054)</t>
  </si>
  <si>
    <t>SC10029</t>
  </si>
  <si>
    <t>Salaries | Student FWS Biweekly Base (SC10029)</t>
  </si>
  <si>
    <t>SC10030</t>
  </si>
  <si>
    <t>Salaries | Student Non-FWS Biweekly Base| Enrolled (SC10030)</t>
  </si>
  <si>
    <t>SC10032</t>
  </si>
  <si>
    <t>Salaries | Student Overtime (SC10032)</t>
  </si>
  <si>
    <t>SC10045</t>
  </si>
  <si>
    <t>Salaries | Additional Pay without Retirement (SC10045)</t>
  </si>
  <si>
    <t>SC10046</t>
  </si>
  <si>
    <t>Salaries | Retirement Incentive (SC10046)</t>
  </si>
  <si>
    <t>SC10875</t>
  </si>
  <si>
    <t>Salaries | Compensatory Time Payout Previous Year (SC10875)</t>
  </si>
  <si>
    <t>SC10026</t>
  </si>
  <si>
    <t>Salaries | Graduate Administrative Associate (SC10026)</t>
  </si>
  <si>
    <t>SC10027</t>
  </si>
  <si>
    <t>Salaries | Graduate Research Associate (SC10027)</t>
  </si>
  <si>
    <t>SC10028</t>
  </si>
  <si>
    <t>Salaries | Graduate Teaching Associate (SC10028)</t>
  </si>
  <si>
    <t>SC10373</t>
  </si>
  <si>
    <t>Student Fellowships (SC10373)</t>
  </si>
  <si>
    <t>NCH</t>
  </si>
  <si>
    <t>SC10025</t>
  </si>
  <si>
    <t>Salaries | 9 month | Faculty Base |Nationwide Children's Hospital (SC10025)</t>
  </si>
  <si>
    <t>SC10023</t>
  </si>
  <si>
    <t>Salaries | 12 month | Faculty Base | Nationwide Children's Hospital (SC10023)</t>
  </si>
  <si>
    <t>FGP (New Hires/STRS/Formely SCN)</t>
  </si>
  <si>
    <t>SC10012</t>
  </si>
  <si>
    <t>Salaries | FGP Base Base New Hires (SC10012)</t>
  </si>
  <si>
    <t>SC10019</t>
  </si>
  <si>
    <t>Salaries | FGP Base subject to STRS/ARP (SC10019)</t>
  </si>
  <si>
    <t>SC10014</t>
  </si>
  <si>
    <t>Salaries | FGP Base Formerly Specialty Care Network (SC10014)</t>
  </si>
  <si>
    <t>FGP Rate 10</t>
  </si>
  <si>
    <t>SC10013</t>
  </si>
  <si>
    <t>Salaries | FGP Base subject to RCP10 (SC10013)</t>
  </si>
  <si>
    <t>FGP Rate 15</t>
  </si>
  <si>
    <t>SC10015</t>
  </si>
  <si>
    <t>Salaries | FGP Base subject to RCP15 (SC10015)</t>
  </si>
  <si>
    <t>FGP Rate 25</t>
  </si>
  <si>
    <t>SC10017</t>
  </si>
  <si>
    <t>Salaries | FGP Base subject to RCP25 (SC10017)</t>
  </si>
  <si>
    <t>UNIV</t>
  </si>
  <si>
    <t>OSUHS</t>
  </si>
  <si>
    <t>Univ/OSUHS</t>
  </si>
  <si>
    <t>Salary Year or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</si>
</sst>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%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1" applyNumberFormat="1" applyFont="1"/>
    <xf numFmtId="0" fontId="0" fillId="2" borderId="0" xfId="0" applyFill="1" applyAlignment="1">
      <alignment horizontal="center"/>
    </xf>
    <xf numFmtId="39" fontId="0" fillId="0" borderId="0" xfId="0" applyNumberFormat="1"/>
    <xf numFmtId="165" fontId="0" fillId="0" borderId="0" xfId="3" applyNumberFormat="1" applyFont="1"/>
    <xf numFmtId="0" fontId="0" fillId="0" borderId="4" xfId="0" applyBorder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6" fontId="0" fillId="0" borderId="0" xfId="2" applyNumberFormat="1" applyFont="1"/>
    <xf numFmtId="164" fontId="0" fillId="0" borderId="6" xfId="1" applyNumberFormat="1" applyFont="1" applyBorder="1"/>
    <xf numFmtId="164" fontId="0" fillId="0" borderId="4" xfId="0" applyNumberFormat="1" applyBorder="1"/>
    <xf numFmtId="164" fontId="0" fillId="0" borderId="0" xfId="1" applyNumberFormat="1" applyFont="1" applyBorder="1"/>
    <xf numFmtId="165" fontId="1" fillId="0" borderId="0" xfId="3" applyNumberFormat="1" applyFont="1" applyBorder="1"/>
    <xf numFmtId="165" fontId="0" fillId="0" borderId="0" xfId="3" applyNumberFormat="1" applyFont="1" applyBorder="1"/>
    <xf numFmtId="165" fontId="1" fillId="0" borderId="4" xfId="3" applyNumberFormat="1" applyFont="1" applyBorder="1"/>
    <xf numFmtId="165" fontId="1" fillId="0" borderId="0" xfId="3" applyNumberFormat="1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10" fontId="0" fillId="0" borderId="4" xfId="3" applyNumberFormat="1" applyFont="1" applyBorder="1" applyAlignment="1">
      <alignment horizontal="center"/>
    </xf>
    <xf numFmtId="43" fontId="0" fillId="0" borderId="0" xfId="0" applyNumberFormat="1"/>
    <xf numFmtId="0" fontId="0" fillId="3" borderId="0" xfId="0" applyFill="1"/>
    <xf numFmtId="164" fontId="0" fillId="0" borderId="6" xfId="0" applyNumberFormat="1" applyBorder="1"/>
    <xf numFmtId="164" fontId="0" fillId="0" borderId="7" xfId="1" applyNumberFormat="1" applyFont="1" applyBorder="1"/>
    <xf numFmtId="37" fontId="0" fillId="0" borderId="5" xfId="0" applyNumberFormat="1" applyBorder="1" applyAlignment="1">
      <alignment horizontal="center"/>
    </xf>
    <xf numFmtId="43" fontId="0" fillId="0" borderId="0" xfId="1" applyFont="1"/>
    <xf numFmtId="164" fontId="0" fillId="0" borderId="5" xfId="1" applyNumberFormat="1" applyFont="1" applyBorder="1"/>
    <xf numFmtId="164" fontId="0" fillId="0" borderId="4" xfId="1" applyNumberFormat="1" applyFont="1" applyBorder="1"/>
    <xf numFmtId="10" fontId="0" fillId="0" borderId="4" xfId="3" applyNumberFormat="1" applyFont="1" applyBorder="1"/>
    <xf numFmtId="167" fontId="0" fillId="0" borderId="0" xfId="3" applyNumberFormat="1" applyFont="1"/>
    <xf numFmtId="44" fontId="0" fillId="0" borderId="0" xfId="2" applyFont="1"/>
    <xf numFmtId="0" fontId="3" fillId="0" borderId="8" xfId="0" applyFont="1" applyBorder="1"/>
    <xf numFmtId="0" fontId="3" fillId="0" borderId="9" xfId="0" applyFont="1" applyBorder="1"/>
    <xf numFmtId="0" fontId="4" fillId="4" borderId="10" xfId="0" applyFont="1" applyFill="1" applyBorder="1"/>
    <xf numFmtId="0" fontId="3" fillId="0" borderId="0" xfId="0" applyFont="1"/>
    <xf numFmtId="0" fontId="4" fillId="4" borderId="4" xfId="0" applyFont="1" applyFill="1" applyBorder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65" fontId="0" fillId="0" borderId="0" xfId="0" applyNumberFormat="1"/>
    <xf numFmtId="0" fontId="0" fillId="0" borderId="3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10" fontId="0" fillId="0" borderId="0" xfId="3" applyNumberFormat="1" applyFont="1" applyBorder="1"/>
    <xf numFmtId="0" fontId="0" fillId="0" borderId="5" xfId="0" quotePrefix="1" applyBorder="1" applyAlignment="1">
      <alignment horizontal="center"/>
    </xf>
    <xf numFmtId="0" fontId="2" fillId="0" borderId="0" xfId="4"/>
    <xf numFmtId="0" fontId="2" fillId="0" borderId="0" xfId="4" quotePrefix="1"/>
    <xf numFmtId="165" fontId="0" fillId="5" borderId="0" xfId="3" applyNumberFormat="1" applyFont="1" applyFill="1"/>
    <xf numFmtId="0" fontId="0" fillId="5" borderId="0" xfId="0" applyFill="1"/>
    <xf numFmtId="0" fontId="3" fillId="5" borderId="0" xfId="0" applyFont="1" applyFill="1"/>
    <xf numFmtId="0" fontId="2" fillId="5" borderId="0" xfId="4" applyFill="1"/>
    <xf numFmtId="0" fontId="2" fillId="5" borderId="0" xfId="4" quotePrefix="1" applyFill="1"/>
    <xf numFmtId="0" fontId="4" fillId="0" borderId="0" xfId="0" applyFont="1" applyFill="1" applyBorder="1"/>
    <xf numFmtId="0" fontId="3" fillId="0" borderId="0" xfId="0" applyFont="1" applyFill="1"/>
    <xf numFmtId="0" fontId="4" fillId="0" borderId="4" xfId="0" applyFont="1" applyFill="1" applyBorder="1"/>
    <xf numFmtId="165" fontId="0" fillId="0" borderId="4" xfId="3" applyNumberFormat="1" applyFont="1" applyBorder="1"/>
    <xf numFmtId="0" fontId="1" fillId="0" borderId="0" xfId="4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4" applyAlignment="1">
      <alignment wrapText="1"/>
    </xf>
    <xf numFmtId="0" fontId="1" fillId="0" borderId="0" xfId="4" applyFont="1" applyAlignment="1">
      <alignment wrapText="1"/>
    </xf>
    <xf numFmtId="0" fontId="2" fillId="0" borderId="0" xfId="4" applyAlignment="1">
      <alignment horizontal="center" wrapText="1"/>
    </xf>
    <xf numFmtId="0" fontId="1" fillId="0" borderId="0" xfId="4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165" fontId="2" fillId="0" borderId="0" xfId="3" applyNumberFormat="1" applyFont="1"/>
    <xf numFmtId="0" fontId="2" fillId="0" borderId="0" xfId="0" applyFont="1" applyAlignment="1">
      <alignment horizontal="right"/>
    </xf>
    <xf numFmtId="0" fontId="6" fillId="0" borderId="0" xfId="5" applyBorder="1" applyAlignment="1">
      <alignment horizontal="center" wrapText="1"/>
    </xf>
    <xf numFmtId="0" fontId="2" fillId="0" borderId="0" xfId="4" applyBorder="1" applyAlignment="1">
      <alignment wrapText="1"/>
    </xf>
    <xf numFmtId="0" fontId="1" fillId="0" borderId="11" xfId="4" applyFont="1" applyBorder="1"/>
    <xf numFmtId="0" fontId="2" fillId="0" borderId="12" xfId="4" applyBorder="1" applyAlignment="1">
      <alignment horizontal="center" wrapText="1"/>
    </xf>
    <xf numFmtId="0" fontId="2" fillId="0" borderId="12" xfId="4" applyBorder="1" applyAlignment="1">
      <alignment wrapText="1"/>
    </xf>
    <xf numFmtId="0" fontId="2" fillId="0" borderId="13" xfId="4" applyBorder="1"/>
    <xf numFmtId="0" fontId="2" fillId="0" borderId="14" xfId="4" applyBorder="1"/>
    <xf numFmtId="0" fontId="6" fillId="0" borderId="15" xfId="5" applyBorder="1" applyAlignment="1">
      <alignment horizontal="center" wrapText="1"/>
    </xf>
    <xf numFmtId="0" fontId="2" fillId="0" borderId="15" xfId="4" applyBorder="1" applyAlignment="1">
      <alignment wrapText="1"/>
    </xf>
    <xf numFmtId="0" fontId="5" fillId="0" borderId="11" xfId="4" applyFont="1" applyBorder="1"/>
    <xf numFmtId="0" fontId="5" fillId="0" borderId="16" xfId="4" applyFont="1" applyBorder="1"/>
    <xf numFmtId="0" fontId="2" fillId="0" borderId="17" xfId="4" applyBorder="1" applyAlignment="1">
      <alignment horizontal="center" wrapText="1"/>
    </xf>
    <xf numFmtId="0" fontId="2" fillId="0" borderId="17" xfId="4" applyBorder="1" applyAlignment="1">
      <alignment wrapText="1"/>
    </xf>
    <xf numFmtId="0" fontId="1" fillId="0" borderId="16" xfId="4" applyFont="1" applyBorder="1"/>
    <xf numFmtId="165" fontId="1" fillId="0" borderId="20" xfId="3" applyNumberFormat="1" applyFont="1" applyBorder="1" applyAlignment="1">
      <alignment horizontal="center"/>
    </xf>
    <xf numFmtId="165" fontId="0" fillId="0" borderId="20" xfId="3" applyNumberFormat="1" applyFont="1" applyBorder="1" applyAlignment="1">
      <alignment horizontal="center"/>
    </xf>
    <xf numFmtId="165" fontId="0" fillId="0" borderId="21" xfId="3" applyNumberFormat="1" applyFont="1" applyBorder="1" applyAlignment="1">
      <alignment horizontal="center"/>
    </xf>
    <xf numFmtId="165" fontId="0" fillId="0" borderId="22" xfId="3" applyNumberFormat="1" applyFont="1" applyBorder="1" applyAlignment="1">
      <alignment horizontal="center"/>
    </xf>
    <xf numFmtId="165" fontId="0" fillId="0" borderId="19" xfId="3" applyNumberFormat="1" applyFont="1" applyBorder="1" applyAlignment="1">
      <alignment horizontal="center"/>
    </xf>
    <xf numFmtId="165" fontId="1" fillId="0" borderId="16" xfId="3" applyNumberFormat="1" applyFont="1" applyBorder="1" applyAlignment="1">
      <alignment horizontal="centerContinuous"/>
    </xf>
    <xf numFmtId="165" fontId="1" fillId="0" borderId="17" xfId="3" applyNumberFormat="1" applyFont="1" applyBorder="1" applyAlignment="1">
      <alignment horizontal="centerContinuous"/>
    </xf>
    <xf numFmtId="165" fontId="1" fillId="0" borderId="18" xfId="3" applyNumberFormat="1" applyFont="1" applyBorder="1" applyAlignment="1">
      <alignment horizontal="centerContinuous"/>
    </xf>
  </cellXfs>
  <cellStyles count="6">
    <cellStyle name="Comma" xfId="1" builtinId="3"/>
    <cellStyle name="Currency" xfId="2" builtinId="4"/>
    <cellStyle name="Normal" xfId="0" builtinId="0"/>
    <cellStyle name="Normal 2" xfId="4" xr:uid="{DB1E081C-5FA1-4257-BFE8-6B9E612FBBDB}"/>
    <cellStyle name="Normal 2 2" xfId="5" xr:uid="{73F95944-7806-41C3-9949-52BF2185C3F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19C0-484A-4F59-B6FB-E59C11298765}">
  <dimension ref="A1:C28"/>
  <sheetViews>
    <sheetView workbookViewId="0">
      <selection activeCell="B27" sqref="B27"/>
    </sheetView>
  </sheetViews>
  <sheetFormatPr defaultRowHeight="13.2" x14ac:dyDescent="0.25"/>
  <cols>
    <col min="1" max="1" width="21.88671875" bestFit="1" customWidth="1"/>
    <col min="2" max="2" width="11.21875" style="6" bestFit="1" customWidth="1"/>
  </cols>
  <sheetData>
    <row r="1" spans="1:2" x14ac:dyDescent="0.25">
      <c r="A1" s="1" t="s">
        <v>96</v>
      </c>
    </row>
    <row r="2" spans="1:2" x14ac:dyDescent="0.25">
      <c r="A2" t="s">
        <v>18</v>
      </c>
      <c r="B2" s="6">
        <v>0.26</v>
      </c>
    </row>
    <row r="3" spans="1:2" x14ac:dyDescent="0.25">
      <c r="A3" t="s">
        <v>97</v>
      </c>
      <c r="B3" s="6">
        <v>0.34300000000000003</v>
      </c>
    </row>
    <row r="4" spans="1:2" x14ac:dyDescent="0.25">
      <c r="A4" t="s">
        <v>24</v>
      </c>
      <c r="B4" s="6">
        <v>0.159</v>
      </c>
    </row>
    <row r="5" spans="1:2" x14ac:dyDescent="0.25">
      <c r="A5" t="s">
        <v>26</v>
      </c>
      <c r="B5" s="6">
        <v>4.0000000000000001E-3</v>
      </c>
    </row>
    <row r="6" spans="1:2" x14ac:dyDescent="0.25">
      <c r="A6" t="s">
        <v>30</v>
      </c>
      <c r="B6" s="6">
        <v>0.113</v>
      </c>
    </row>
    <row r="8" spans="1:2" x14ac:dyDescent="0.25">
      <c r="A8" s="1" t="s">
        <v>98</v>
      </c>
    </row>
    <row r="9" spans="1:2" x14ac:dyDescent="0.25">
      <c r="A9" t="s">
        <v>18</v>
      </c>
      <c r="B9" s="6">
        <v>0.35199999999999998</v>
      </c>
    </row>
    <row r="10" spans="1:2" x14ac:dyDescent="0.25">
      <c r="A10" t="s">
        <v>97</v>
      </c>
      <c r="B10" s="6">
        <v>0.33200000000000002</v>
      </c>
    </row>
    <row r="11" spans="1:2" x14ac:dyDescent="0.25">
      <c r="A11" t="s">
        <v>24</v>
      </c>
      <c r="B11" s="6">
        <v>0.16200000000000001</v>
      </c>
    </row>
    <row r="12" spans="1:2" x14ac:dyDescent="0.25">
      <c r="A12" t="s">
        <v>26</v>
      </c>
      <c r="B12" s="6">
        <v>7.0000000000000001E-3</v>
      </c>
    </row>
    <row r="13" spans="1:2" x14ac:dyDescent="0.25">
      <c r="A13" t="s">
        <v>30</v>
      </c>
      <c r="B13" s="6">
        <v>0.11600000000000001</v>
      </c>
    </row>
    <row r="15" spans="1:2" x14ac:dyDescent="0.25">
      <c r="A15" s="1" t="s">
        <v>99</v>
      </c>
    </row>
    <row r="16" spans="1:2" x14ac:dyDescent="0.25">
      <c r="A16" t="s">
        <v>18</v>
      </c>
      <c r="B16" s="6">
        <v>0.27600000000000002</v>
      </c>
    </row>
    <row r="17" spans="1:3" x14ac:dyDescent="0.25">
      <c r="A17" t="s">
        <v>97</v>
      </c>
      <c r="B17" s="6">
        <v>0.35099999999999998</v>
      </c>
    </row>
    <row r="18" spans="1:3" x14ac:dyDescent="0.25">
      <c r="A18" t="s">
        <v>24</v>
      </c>
      <c r="B18" s="6">
        <v>0.16500000000000001</v>
      </c>
    </row>
    <row r="19" spans="1:3" x14ac:dyDescent="0.25">
      <c r="A19" t="s">
        <v>26</v>
      </c>
      <c r="B19" s="6">
        <v>0.115</v>
      </c>
    </row>
    <row r="21" spans="1:3" x14ac:dyDescent="0.25">
      <c r="A21" s="1" t="s">
        <v>100</v>
      </c>
    </row>
    <row r="22" spans="1:3" x14ac:dyDescent="0.25">
      <c r="A22" t="s">
        <v>101</v>
      </c>
      <c r="B22" s="6">
        <v>0.14499999999999999</v>
      </c>
    </row>
    <row r="23" spans="1:3" x14ac:dyDescent="0.25">
      <c r="A23" t="s">
        <v>102</v>
      </c>
      <c r="B23" s="6">
        <v>0.19500000000000001</v>
      </c>
    </row>
    <row r="24" spans="1:3" x14ac:dyDescent="0.25">
      <c r="A24" t="s">
        <v>104</v>
      </c>
      <c r="B24" s="6">
        <v>0.185</v>
      </c>
    </row>
    <row r="25" spans="1:3" x14ac:dyDescent="0.25">
      <c r="A25" t="s">
        <v>103</v>
      </c>
      <c r="B25" s="6">
        <v>0.23899999999999999</v>
      </c>
    </row>
    <row r="27" spans="1:3" x14ac:dyDescent="0.25">
      <c r="A27" s="1" t="s">
        <v>239</v>
      </c>
      <c r="B27" s="70" t="s">
        <v>262</v>
      </c>
      <c r="C27" s="71" t="s">
        <v>99</v>
      </c>
    </row>
    <row r="28" spans="1:3" x14ac:dyDescent="0.25">
      <c r="B28" s="6">
        <v>0.18</v>
      </c>
      <c r="C28" s="6">
        <v>0.16500000000000001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7037-887D-45DE-9EDD-76F52A879AC0}">
  <dimension ref="A1:R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4" sqref="O4:R4"/>
    </sheetView>
  </sheetViews>
  <sheetFormatPr defaultRowHeight="13.2" x14ac:dyDescent="0.25"/>
  <cols>
    <col min="1" max="1" width="23.109375" bestFit="1" customWidth="1"/>
    <col min="2" max="6" width="10.6640625" customWidth="1"/>
    <col min="7" max="7" width="3.5546875" customWidth="1"/>
    <col min="8" max="12" width="10.6640625" customWidth="1"/>
    <col min="13" max="13" width="3.109375" customWidth="1"/>
    <col min="14" max="14" width="23.109375" bestFit="1" customWidth="1"/>
    <col min="15" max="18" width="10.6640625" customWidth="1"/>
  </cols>
  <sheetData>
    <row r="1" spans="1:18" x14ac:dyDescent="0.25">
      <c r="O1" t="s">
        <v>100</v>
      </c>
    </row>
    <row r="2" spans="1:18" x14ac:dyDescent="0.25">
      <c r="B2" s="44" t="s">
        <v>127</v>
      </c>
      <c r="C2" s="43"/>
      <c r="D2" s="43"/>
      <c r="E2" s="43"/>
      <c r="F2" s="43"/>
      <c r="H2" s="44" t="s">
        <v>35</v>
      </c>
      <c r="I2" s="43"/>
      <c r="J2" s="43"/>
      <c r="K2" s="43"/>
      <c r="L2" s="43"/>
      <c r="O2" s="44"/>
      <c r="P2" s="44"/>
      <c r="Q2" s="2" t="s">
        <v>158</v>
      </c>
      <c r="R2" s="44"/>
    </row>
    <row r="3" spans="1:18" x14ac:dyDescent="0.25">
      <c r="B3" s="2" t="s">
        <v>9</v>
      </c>
      <c r="C3" s="2" t="s">
        <v>124</v>
      </c>
      <c r="D3" s="2" t="s">
        <v>12</v>
      </c>
      <c r="E3" s="2" t="s">
        <v>125</v>
      </c>
      <c r="F3" s="2" t="s">
        <v>126</v>
      </c>
      <c r="H3" s="2" t="s">
        <v>9</v>
      </c>
      <c r="I3" s="2" t="s">
        <v>124</v>
      </c>
      <c r="J3" s="2" t="s">
        <v>12</v>
      </c>
      <c r="K3" s="2" t="s">
        <v>125</v>
      </c>
      <c r="L3" s="2" t="s">
        <v>126</v>
      </c>
      <c r="O3" s="2"/>
      <c r="P3" s="2"/>
      <c r="Q3" s="2" t="s">
        <v>159</v>
      </c>
      <c r="R3" s="2"/>
    </row>
    <row r="4" spans="1:18" x14ac:dyDescent="0.25">
      <c r="B4" s="2" t="s">
        <v>18</v>
      </c>
      <c r="C4" s="2" t="s">
        <v>97</v>
      </c>
      <c r="D4" s="2" t="s">
        <v>24</v>
      </c>
      <c r="E4" s="2" t="s">
        <v>26</v>
      </c>
      <c r="F4" s="2" t="s">
        <v>30</v>
      </c>
      <c r="H4" s="2" t="s">
        <v>18</v>
      </c>
      <c r="I4" s="2" t="s">
        <v>97</v>
      </c>
      <c r="J4" s="2" t="s">
        <v>24</v>
      </c>
      <c r="K4" s="2" t="s">
        <v>26</v>
      </c>
      <c r="L4" s="2" t="s">
        <v>30</v>
      </c>
      <c r="O4" s="2" t="s">
        <v>101</v>
      </c>
      <c r="P4" s="2" t="s">
        <v>102</v>
      </c>
      <c r="Q4" s="2" t="s">
        <v>160</v>
      </c>
      <c r="R4" s="2" t="s">
        <v>103</v>
      </c>
    </row>
    <row r="5" spans="1:18" x14ac:dyDescent="0.25">
      <c r="A5" s="38" t="s">
        <v>42</v>
      </c>
      <c r="B5" s="6">
        <f>ROUND((fy22_summary_bnft_projection!D89/fy22_summary_bnft_projection!$D$43),3)</f>
        <v>0.14099999999999999</v>
      </c>
      <c r="C5" s="6">
        <f>ROUND((fy22_summary_bnft_projection!G89/fy22_summary_bnft_projection!$G$43),3)</f>
        <v>0</v>
      </c>
      <c r="D5" s="6">
        <f>ROUND((fy22_summary_bnft_projection!H89/fy22_summary_bnft_projection!$L$43),3)</f>
        <v>0.14099999999999999</v>
      </c>
      <c r="E5" s="6">
        <f>ROUND((fy22_summary_bnft_projection!I89/fy22_summary_bnft_projection!$N$43),3)</f>
        <v>0</v>
      </c>
      <c r="F5" s="6">
        <f>ROUND((fy22_summary_bnft_projection!J89/fy22_summary_bnft_projection!$R$43),3)</f>
        <v>0</v>
      </c>
      <c r="H5" s="6">
        <f>ROUND((fy22_summary_bnft_projection!E18/fy22_summary_bnft_projection!$E$13),3)</f>
        <v>0.14099999999999999</v>
      </c>
      <c r="I5" s="6">
        <f>ROUND((fy22_summary_bnft_projection!K18/fy22_summary_bnft_projection!$K$13),3)</f>
        <v>0</v>
      </c>
      <c r="J5" s="6">
        <f>ROUND((fy22_summary_bnft_projection!M18/fy22_summary_bnft_projection!$M$13),3)</f>
        <v>0.14099999999999999</v>
      </c>
      <c r="K5" s="6">
        <f>ROUND((fy22_summary_bnft_projection!O18/fy22_summary_bnft_projection!$O$13),3)</f>
        <v>0</v>
      </c>
      <c r="L5" s="6">
        <f>ROUND((fy22_summary_bnft_projection!S18/fy22_summary_bnft_projection!$S$13),3)</f>
        <v>0</v>
      </c>
      <c r="N5" s="38" t="s">
        <v>42</v>
      </c>
      <c r="O5" s="6">
        <v>0.1</v>
      </c>
      <c r="P5" s="6">
        <v>0.15</v>
      </c>
      <c r="Q5" s="6">
        <v>0</v>
      </c>
      <c r="R5" s="6">
        <v>0.19400000000000001</v>
      </c>
    </row>
    <row r="6" spans="1:18" x14ac:dyDescent="0.25">
      <c r="A6" s="39" t="s">
        <v>44</v>
      </c>
      <c r="B6" s="6">
        <f>ROUND((fy22_summary_bnft_projection!D90/fy22_summary_bnft_projection!$D$43),3)</f>
        <v>0</v>
      </c>
      <c r="C6" s="6">
        <f>ROUND((fy22_summary_bnft_projection!G90/fy22_summary_bnft_projection!$G$43),3)</f>
        <v>0.14000000000000001</v>
      </c>
      <c r="D6" s="6">
        <f>ROUND((fy22_summary_bnft_projection!H90/fy22_summary_bnft_projection!$L$43),3)</f>
        <v>0</v>
      </c>
      <c r="E6" s="6">
        <f>ROUND((fy22_summary_bnft_projection!I90/fy22_summary_bnft_projection!$N$43),3)</f>
        <v>0</v>
      </c>
      <c r="F6" s="6">
        <f>ROUND((fy22_summary_bnft_projection!J90/fy22_summary_bnft_projection!$R$43),3)</f>
        <v>0</v>
      </c>
      <c r="H6" s="6">
        <f>ROUND((fy22_summary_bnft_projection!E19/fy22_summary_bnft_projection!$E$13),3)</f>
        <v>0</v>
      </c>
      <c r="I6" s="6">
        <f>ROUND((fy22_summary_bnft_projection!K19/fy22_summary_bnft_projection!$K$13),3)</f>
        <v>0.14099999999999999</v>
      </c>
      <c r="J6" s="6">
        <f>ROUND((fy22_summary_bnft_projection!M19/fy22_summary_bnft_projection!$M$13),3)</f>
        <v>0</v>
      </c>
      <c r="K6" s="6">
        <f>ROUND((fy22_summary_bnft_projection!O19/fy22_summary_bnft_projection!$O$13),3)</f>
        <v>0</v>
      </c>
      <c r="L6" s="6">
        <f>ROUND((fy22_summary_bnft_projection!S19/fy22_summary_bnft_projection!$S$13),3)</f>
        <v>0</v>
      </c>
      <c r="N6" s="39" t="s">
        <v>158</v>
      </c>
      <c r="O6" s="6">
        <v>0</v>
      </c>
      <c r="P6" s="6">
        <v>0</v>
      </c>
      <c r="Q6" s="6">
        <v>0.14000000000000001</v>
      </c>
      <c r="R6" s="6">
        <v>0</v>
      </c>
    </row>
    <row r="7" spans="1:18" x14ac:dyDescent="0.25">
      <c r="A7" s="39" t="s">
        <v>105</v>
      </c>
      <c r="B7" s="6">
        <f>ROUND((fy22_summary_bnft_projection!D91/fy22_summary_bnft_projection!$D$43),3)</f>
        <v>1.4E-2</v>
      </c>
      <c r="C7" s="6">
        <f>ROUND((fy22_summary_bnft_projection!G91/fy22_summary_bnft_projection!$G$43),3)</f>
        <v>1.4E-2</v>
      </c>
      <c r="D7" s="6">
        <f>ROUND((fy22_summary_bnft_projection!H91/fy22_summary_bnft_projection!$L$43),3)</f>
        <v>1.4E-2</v>
      </c>
      <c r="E7" s="6">
        <f>ROUND((fy22_summary_bnft_projection!I91/fy22_summary_bnft_projection!$N$43),3)</f>
        <v>0</v>
      </c>
      <c r="F7" s="6">
        <f>ROUND((fy22_summary_bnft_projection!J91/fy22_summary_bnft_projection!$R$43),3)</f>
        <v>0</v>
      </c>
      <c r="H7" s="6">
        <f>ROUND((fy22_summary_bnft_projection!E20/fy22_summary_bnft_projection!$E$13),3)</f>
        <v>1.4E-2</v>
      </c>
      <c r="I7" s="6">
        <f>ROUND((fy22_summary_bnft_projection!K20/fy22_summary_bnft_projection!$K$13),3)</f>
        <v>1.4E-2</v>
      </c>
      <c r="J7" s="6">
        <f>ROUND((fy22_summary_bnft_projection!M20/fy22_summary_bnft_projection!$M$13),3)</f>
        <v>1.4E-2</v>
      </c>
      <c r="K7" s="6">
        <f>ROUND((fy22_summary_bnft_projection!O20/fy22_summary_bnft_projection!$O$13),3)</f>
        <v>0</v>
      </c>
      <c r="L7" s="6">
        <f>ROUND((fy22_summary_bnft_projection!S20/fy22_summary_bnft_projection!$S$13),3)</f>
        <v>0</v>
      </c>
      <c r="N7" s="39" t="s">
        <v>105</v>
      </c>
      <c r="O7" s="6">
        <v>1.2999999999999999E-2</v>
      </c>
      <c r="P7" s="6">
        <v>1.2999999999999999E-2</v>
      </c>
      <c r="Q7" s="6">
        <v>1.2999999999999999E-2</v>
      </c>
      <c r="R7" s="6">
        <v>1.2999999999999999E-2</v>
      </c>
    </row>
    <row r="8" spans="1:18" x14ac:dyDescent="0.25">
      <c r="A8" s="52" t="s">
        <v>106</v>
      </c>
      <c r="B8" s="52">
        <f>ROUND(0.891*$B$13,3)</f>
        <v>7.0999999999999994E-2</v>
      </c>
      <c r="C8" s="52">
        <f>ROUND(0.891*$C$13,3)</f>
        <v>0.13500000000000001</v>
      </c>
      <c r="D8" s="52">
        <f>ROUND(0.891*$D$13,3)</f>
        <v>0</v>
      </c>
      <c r="E8" s="52">
        <f>ROUND(0.891*$E$13,3)</f>
        <v>0</v>
      </c>
      <c r="F8" s="52">
        <f>ROUND(0.891*$F$13,3)</f>
        <v>0</v>
      </c>
      <c r="G8" s="53"/>
      <c r="H8" s="52">
        <f>ROUND(0.891*$H13,3)+0.001</f>
        <v>0.14100000000000001</v>
      </c>
      <c r="I8" s="52">
        <f>ROUND(0.891*$I$13,3)</f>
        <v>0.123</v>
      </c>
      <c r="J8" s="52">
        <f>ROUND(0.891*$J$13,3)</f>
        <v>0</v>
      </c>
      <c r="K8" s="52">
        <v>0</v>
      </c>
      <c r="L8" s="52">
        <v>0</v>
      </c>
      <c r="N8" s="52" t="s">
        <v>106</v>
      </c>
      <c r="O8" s="52">
        <v>1.2E-2</v>
      </c>
      <c r="P8" s="52">
        <v>1.2E-2</v>
      </c>
      <c r="Q8" s="52">
        <v>1.2E-2</v>
      </c>
      <c r="R8" s="52">
        <v>1.2E-2</v>
      </c>
    </row>
    <row r="9" spans="1:18" x14ac:dyDescent="0.25">
      <c r="A9" s="52" t="s">
        <v>107</v>
      </c>
      <c r="B9" s="52">
        <f>ROUND(0.092*$B$13,3)</f>
        <v>7.0000000000000001E-3</v>
      </c>
      <c r="C9" s="52">
        <f>ROUND(0.092*$C$13,3)</f>
        <v>1.4E-2</v>
      </c>
      <c r="D9" s="52">
        <f>ROUND(0.092*$D$13,3)</f>
        <v>0</v>
      </c>
      <c r="E9" s="52">
        <f>ROUND(0.092*$E$13,3)</f>
        <v>0</v>
      </c>
      <c r="F9" s="52">
        <f>ROUND(0.092*$F$13,3)</f>
        <v>0</v>
      </c>
      <c r="G9" s="53"/>
      <c r="H9" s="52">
        <f>ROUND(0.092*$H$13,3)</f>
        <v>1.4E-2</v>
      </c>
      <c r="I9" s="52">
        <f>ROUND(0.092*$I$13,3)</f>
        <v>1.2999999999999999E-2</v>
      </c>
      <c r="J9" s="52">
        <f>ROUND(0.092*$J$13,3)</f>
        <v>0</v>
      </c>
      <c r="K9" s="52">
        <v>0</v>
      </c>
      <c r="L9" s="52">
        <v>0</v>
      </c>
      <c r="N9" s="52" t="s">
        <v>107</v>
      </c>
      <c r="O9" s="52">
        <v>4.0000000000000001E-3</v>
      </c>
      <c r="P9" s="52">
        <v>4.0000000000000001E-3</v>
      </c>
      <c r="Q9" s="52">
        <v>4.0000000000000001E-3</v>
      </c>
      <c r="R9" s="52">
        <v>4.0000000000000001E-3</v>
      </c>
    </row>
    <row r="10" spans="1:18" x14ac:dyDescent="0.25">
      <c r="A10" s="52" t="s">
        <v>108</v>
      </c>
      <c r="B10" s="52">
        <f>ROUND(0.009*$B$13,3)</f>
        <v>1E-3</v>
      </c>
      <c r="C10" s="52">
        <f>ROUND(0.009*$C$13,3)</f>
        <v>1E-3</v>
      </c>
      <c r="D10" s="52">
        <f>ROUND(0.009*$D$13,3)</f>
        <v>0</v>
      </c>
      <c r="E10" s="52">
        <f>ROUND(0.009*$E$13,3)</f>
        <v>0</v>
      </c>
      <c r="F10" s="52">
        <f>ROUND(0.009*$F$13,3)</f>
        <v>0</v>
      </c>
      <c r="G10" s="53"/>
      <c r="H10" s="52">
        <f>ROUND(0.009*$H$13,3)</f>
        <v>1E-3</v>
      </c>
      <c r="I10" s="52">
        <f>ROUND(0.009*$I$13,3)</f>
        <v>1E-3</v>
      </c>
      <c r="J10" s="52">
        <f>ROUND(0.009*$J$13,3)</f>
        <v>0</v>
      </c>
      <c r="K10" s="52">
        <v>0</v>
      </c>
      <c r="L10" s="52">
        <v>0</v>
      </c>
      <c r="N10" s="52" t="s">
        <v>108</v>
      </c>
      <c r="O10" s="52">
        <v>1E-3</v>
      </c>
      <c r="P10" s="52">
        <v>1E-3</v>
      </c>
      <c r="Q10" s="52">
        <v>1E-3</v>
      </c>
      <c r="R10" s="52">
        <v>1E-3</v>
      </c>
    </row>
    <row r="11" spans="1:18" x14ac:dyDescent="0.25">
      <c r="A11" s="52" t="s">
        <v>109</v>
      </c>
      <c r="B11" s="52">
        <f>ROUND(0.008*$B$13,3)</f>
        <v>1E-3</v>
      </c>
      <c r="C11" s="52">
        <f>ROUND(0.008*$C$13,3)</f>
        <v>1E-3</v>
      </c>
      <c r="D11" s="52">
        <f>ROUND(0.008*$D$13,3)</f>
        <v>0</v>
      </c>
      <c r="E11" s="52">
        <f>ROUND(0.008*$E$13,3)</f>
        <v>0</v>
      </c>
      <c r="F11" s="52">
        <f>ROUND(0.008*$F$13,3)</f>
        <v>0</v>
      </c>
      <c r="G11" s="53"/>
      <c r="H11" s="52">
        <f>ROUND(0.008*$H$13,3)</f>
        <v>1E-3</v>
      </c>
      <c r="I11" s="52">
        <f>ROUND(0.008*$I$13,3)</f>
        <v>1E-3</v>
      </c>
      <c r="J11" s="52">
        <f>ROUND(0.008*$J$13,3)</f>
        <v>0</v>
      </c>
      <c r="K11" s="52">
        <v>0</v>
      </c>
      <c r="L11" s="52">
        <v>0</v>
      </c>
      <c r="N11" s="52" t="s">
        <v>109</v>
      </c>
      <c r="O11" s="52">
        <v>0</v>
      </c>
      <c r="P11" s="52">
        <v>0</v>
      </c>
      <c r="Q11" s="52">
        <v>0</v>
      </c>
      <c r="R11" s="52">
        <v>0</v>
      </c>
    </row>
    <row r="12" spans="1:18" x14ac:dyDescent="0.25">
      <c r="A12" s="52" t="s">
        <v>110</v>
      </c>
      <c r="B12" s="52">
        <f>SUM(B8:B11)</f>
        <v>0.08</v>
      </c>
      <c r="C12" s="52">
        <f t="shared" ref="C12:F12" si="0">SUM(C8:C11)</f>
        <v>0.15100000000000002</v>
      </c>
      <c r="D12" s="52">
        <f t="shared" si="0"/>
        <v>0</v>
      </c>
      <c r="E12" s="52">
        <f t="shared" si="0"/>
        <v>0</v>
      </c>
      <c r="F12" s="52">
        <f t="shared" si="0"/>
        <v>0</v>
      </c>
      <c r="G12" s="53"/>
      <c r="H12" s="52">
        <f>SUM(H8:H11)</f>
        <v>0.15700000000000003</v>
      </c>
      <c r="I12" s="52">
        <f t="shared" ref="I12:J12" si="1">SUM(I8:I11)</f>
        <v>0.13800000000000001</v>
      </c>
      <c r="J12" s="52">
        <f t="shared" si="1"/>
        <v>0</v>
      </c>
      <c r="K12" s="52">
        <f t="shared" ref="K12" si="2">SUM(K8:K11)</f>
        <v>0</v>
      </c>
      <c r="L12" s="52">
        <f t="shared" ref="L12" si="3">SUM(L8:L11)</f>
        <v>0</v>
      </c>
      <c r="N12" s="52" t="s">
        <v>110</v>
      </c>
      <c r="O12" s="52">
        <f>SUM(O8:O11)</f>
        <v>1.7000000000000001E-2</v>
      </c>
      <c r="P12" s="52">
        <f t="shared" ref="P12:R12" si="4">SUM(P8:P11)</f>
        <v>1.7000000000000001E-2</v>
      </c>
      <c r="Q12" s="52">
        <f t="shared" si="4"/>
        <v>1.7000000000000001E-2</v>
      </c>
      <c r="R12" s="52">
        <f t="shared" si="4"/>
        <v>1.7000000000000001E-2</v>
      </c>
    </row>
    <row r="13" spans="1:18" x14ac:dyDescent="0.25">
      <c r="A13" s="39" t="s">
        <v>111</v>
      </c>
      <c r="B13" s="6">
        <f>ROUND(((fy22_summary_bnft_projection!D99+fy22_summary_bnft_projection!D100)/fy22_summary_bnft_projection!$D$43),3)-0.007</f>
        <v>7.9999999999999988E-2</v>
      </c>
      <c r="C13" s="6">
        <f>ROUND(((fy22_summary_bnft_projection!G99+fy22_summary_bnft_projection!G100)/fy22_summary_bnft_projection!$G$43),3)-0.007</f>
        <v>0.151</v>
      </c>
      <c r="D13" s="6">
        <f>ROUND(((fy22_summary_bnft_projection!H99+fy22_summary_bnft_projection!H100)/fy22_summary_bnft_projection!$L$43),3)</f>
        <v>0</v>
      </c>
      <c r="E13" s="6">
        <f>ROUND(((fy22_summary_bnft_projection!I99+fy22_summary_bnft_projection!I100)/fy22_summary_bnft_projection!$N$43),3)</f>
        <v>0</v>
      </c>
      <c r="F13" s="6">
        <f>ROUND(((fy22_summary_bnft_projection!J99+fy22_summary_bnft_projection!J100)/fy22_summary_bnft_projection!$R$43),3)</f>
        <v>0</v>
      </c>
      <c r="H13" s="6">
        <f>ROUND(((fy22_summary_bnft_projection!E28+fy22_summary_bnft_projection!E29)/fy22_summary_bnft_projection!$E$13),3)-0.004</f>
        <v>0.157</v>
      </c>
      <c r="I13" s="6">
        <f>ROUND(((fy22_summary_bnft_projection!K28+fy22_summary_bnft_projection!K29)/fy22_summary_bnft_projection!$K$13),3)-0.014</f>
        <v>0.13799999999999998</v>
      </c>
      <c r="J13" s="6">
        <f>ROUND(((fy22_summary_bnft_projection!M28+fy22_summary_bnft_projection!M29)/fy22_summary_bnft_projection!$M$13),3)</f>
        <v>0</v>
      </c>
      <c r="K13" s="6">
        <v>0</v>
      </c>
      <c r="L13" s="6">
        <v>0</v>
      </c>
      <c r="N13" s="39" t="s">
        <v>111</v>
      </c>
      <c r="O13" s="6">
        <v>1.7000000000000001E-2</v>
      </c>
      <c r="P13" s="6">
        <v>1.7000000000000001E-2</v>
      </c>
      <c r="Q13" s="6">
        <v>1.7000000000000001E-2</v>
      </c>
      <c r="R13" s="6">
        <v>1.7000000000000001E-2</v>
      </c>
    </row>
    <row r="14" spans="1:18" x14ac:dyDescent="0.25">
      <c r="A14" s="39" t="s">
        <v>112</v>
      </c>
      <c r="B14" s="6">
        <f>ROUND((fy22_summary_bnft_projection!D97/fy22_summary_bnft_projection!$D$43),3)</f>
        <v>2E-3</v>
      </c>
      <c r="C14" s="6">
        <f>ROUND((fy22_summary_bnft_projection!G97/fy22_summary_bnft_projection!$G$43),3)</f>
        <v>2E-3</v>
      </c>
      <c r="D14" s="6">
        <f>ROUND((fy22_summary_bnft_projection!H97/fy22_summary_bnft_projection!$L$43),3)</f>
        <v>2E-3</v>
      </c>
      <c r="E14" s="6">
        <f>ROUND((fy22_summary_bnft_projection!I97/fy22_summary_bnft_projection!$N$43),3)</f>
        <v>2E-3</v>
      </c>
      <c r="F14" s="6">
        <f>ROUND((fy22_summary_bnft_projection!J97/fy22_summary_bnft_projection!$R$43),3)-0.001</f>
        <v>1E-3</v>
      </c>
      <c r="H14" s="6">
        <f>ROUND((fy22_summary_bnft_projection!E26/fy22_summary_bnft_projection!$E$13),3)</f>
        <v>2E-3</v>
      </c>
      <c r="I14" s="6">
        <f>ROUND((fy22_summary_bnft_projection!K26/fy22_summary_bnft_projection!$K$13),3)</f>
        <v>2E-3</v>
      </c>
      <c r="J14" s="6">
        <f>ROUND((fy22_summary_bnft_projection!M26/fy22_summary_bnft_projection!$M$13),3)</f>
        <v>2E-3</v>
      </c>
      <c r="K14" s="6">
        <f>ROUND((fy22_summary_bnft_projection!O26/fy22_summary_bnft_projection!$O$13),3)</f>
        <v>2E-3</v>
      </c>
      <c r="L14" s="6">
        <f>ROUND((fy22_summary_bnft_projection!S26/fy22_summary_bnft_projection!$S$13),3)</f>
        <v>2E-3</v>
      </c>
      <c r="N14" s="39" t="s">
        <v>112</v>
      </c>
      <c r="O14" s="6">
        <v>2E-3</v>
      </c>
      <c r="P14" s="6">
        <v>2E-3</v>
      </c>
      <c r="Q14" s="6">
        <v>2E-3</v>
      </c>
      <c r="R14" s="6">
        <v>2E-3</v>
      </c>
    </row>
    <row r="15" spans="1:18" x14ac:dyDescent="0.25">
      <c r="A15" s="39" t="s">
        <v>113</v>
      </c>
      <c r="B15" s="6">
        <f>ROUND((fy22_summary_bnft_projection!D92/fy22_summary_bnft_projection!$D$43),3)</f>
        <v>2E-3</v>
      </c>
      <c r="C15" s="6">
        <f>ROUND((fy22_summary_bnft_projection!G92/fy22_summary_bnft_projection!$G$43),3)</f>
        <v>2E-3</v>
      </c>
      <c r="D15" s="6">
        <f>ROUND((fy22_summary_bnft_projection!H92/fy22_summary_bnft_projection!$L$43),3)</f>
        <v>0</v>
      </c>
      <c r="E15" s="6">
        <f>ROUND((fy22_summary_bnft_projection!I92/fy22_summary_bnft_projection!$N$43),3)</f>
        <v>0</v>
      </c>
      <c r="F15" s="6">
        <f>ROUND((fy22_summary_bnft_projection!J92/fy22_summary_bnft_projection!$R$43),3)</f>
        <v>0</v>
      </c>
      <c r="H15" s="6">
        <f>ROUND((fy22_summary_bnft_projection!E21/fy22_summary_bnft_projection!$E$13),3)</f>
        <v>2E-3</v>
      </c>
      <c r="I15" s="6">
        <f>ROUND((fy22_summary_bnft_projection!K21/fy22_summary_bnft_projection!$K$13),3)</f>
        <v>2E-3</v>
      </c>
      <c r="J15" s="6">
        <f>ROUND((fy22_summary_bnft_projection!M21/fy22_summary_bnft_projection!$M$13),3)</f>
        <v>0</v>
      </c>
      <c r="K15" s="6">
        <f>ROUND((fy22_summary_bnft_projection!O21/fy22_summary_bnft_projection!$O$13),3)</f>
        <v>0</v>
      </c>
      <c r="L15" s="6">
        <f>ROUND((fy22_summary_bnft_projection!S21/fy22_summary_bnft_projection!$S$13),3)</f>
        <v>0</v>
      </c>
      <c r="N15" s="39" t="s">
        <v>113</v>
      </c>
      <c r="O15" s="6">
        <v>2E-3</v>
      </c>
      <c r="P15" s="6">
        <v>2E-3</v>
      </c>
      <c r="Q15" s="6">
        <v>2E-3</v>
      </c>
      <c r="R15" s="6">
        <v>2E-3</v>
      </c>
    </row>
    <row r="16" spans="1:18" x14ac:dyDescent="0.25">
      <c r="A16" s="39" t="s">
        <v>114</v>
      </c>
      <c r="B16" s="6">
        <f>ROUND((fy22_summary_bnft_projection!D93/fy22_summary_bnft_projection!$D$43),3)</f>
        <v>3.0000000000000001E-3</v>
      </c>
      <c r="C16" s="6">
        <f>ROUND((fy22_summary_bnft_projection!G93/fy22_summary_bnft_projection!$G$43),3)</f>
        <v>3.0000000000000001E-3</v>
      </c>
      <c r="D16" s="6">
        <f>ROUND((fy22_summary_bnft_projection!H93/fy22_summary_bnft_projection!$L$43),3)</f>
        <v>0</v>
      </c>
      <c r="E16" s="6">
        <f>ROUND((fy22_summary_bnft_projection!I93/fy22_summary_bnft_projection!$N$43),3)</f>
        <v>0</v>
      </c>
      <c r="F16" s="6">
        <f>ROUND((fy22_summary_bnft_projection!J93/fy22_summary_bnft_projection!$R$43),3)</f>
        <v>0</v>
      </c>
      <c r="H16" s="6">
        <f>ROUND((fy22_summary_bnft_projection!E22/fy22_summary_bnft_projection!$E$13),3)</f>
        <v>3.0000000000000001E-3</v>
      </c>
      <c r="I16" s="6">
        <f>ROUND((fy22_summary_bnft_projection!K22/fy22_summary_bnft_projection!$K$13),3)</f>
        <v>3.0000000000000001E-3</v>
      </c>
      <c r="J16" s="6">
        <f>ROUND((fy22_summary_bnft_projection!M22/fy22_summary_bnft_projection!$M$13),3)</f>
        <v>0</v>
      </c>
      <c r="K16" s="6">
        <f>ROUND((fy22_summary_bnft_projection!O22/fy22_summary_bnft_projection!$O$13),3)</f>
        <v>0</v>
      </c>
      <c r="L16" s="6">
        <f>ROUND((fy22_summary_bnft_projection!S22/fy22_summary_bnft_projection!$S$13),3)</f>
        <v>0</v>
      </c>
      <c r="N16" s="39" t="s">
        <v>114</v>
      </c>
      <c r="O16" s="6">
        <v>3.0000000000000001E-3</v>
      </c>
      <c r="P16" s="6">
        <v>3.0000000000000001E-3</v>
      </c>
      <c r="Q16" s="6">
        <v>3.0000000000000001E-3</v>
      </c>
      <c r="R16" s="6">
        <v>3.0000000000000001E-3</v>
      </c>
    </row>
    <row r="17" spans="1:18" x14ac:dyDescent="0.25">
      <c r="A17" s="39" t="s">
        <v>115</v>
      </c>
      <c r="B17" s="6">
        <f>ROUND((fy22_summary_bnft_projection!D94/fy22_summary_bnft_projection!$D$43),3)+0.001</f>
        <v>1E-3</v>
      </c>
      <c r="C17" s="6">
        <f>ROUND((fy22_summary_bnft_projection!G94/fy22_summary_bnft_projection!$G$43),3)+0.001</f>
        <v>1E-3</v>
      </c>
      <c r="D17" s="6">
        <f>ROUND((fy22_summary_bnft_projection!H94/fy22_summary_bnft_projection!$L$43),3)</f>
        <v>0</v>
      </c>
      <c r="E17" s="6">
        <f>ROUND((fy22_summary_bnft_projection!I94/fy22_summary_bnft_projection!$N$43),3)</f>
        <v>0</v>
      </c>
      <c r="F17" s="6">
        <f>ROUND((fy22_summary_bnft_projection!J94/fy22_summary_bnft_projection!$R$43),3)</f>
        <v>0</v>
      </c>
      <c r="H17" s="6">
        <f>ROUND((fy22_summary_bnft_projection!E23/fy22_summary_bnft_projection!$E$13),3)+0.001</f>
        <v>1E-3</v>
      </c>
      <c r="I17" s="6">
        <f>ROUND((fy22_summary_bnft_projection!K23/fy22_summary_bnft_projection!$K$13),3)+0.001</f>
        <v>1E-3</v>
      </c>
      <c r="J17" s="6">
        <f>ROUND((fy22_summary_bnft_projection!M23/fy22_summary_bnft_projection!$M$13),3)</f>
        <v>0</v>
      </c>
      <c r="K17" s="6">
        <f>ROUND((fy22_summary_bnft_projection!O23/fy22_summary_bnft_projection!$O$13),3)</f>
        <v>0</v>
      </c>
      <c r="L17" s="6">
        <f>ROUND((fy22_summary_bnft_projection!S23/fy22_summary_bnft_projection!$S$13),3)</f>
        <v>0</v>
      </c>
      <c r="N17" s="39" t="s">
        <v>115</v>
      </c>
      <c r="O17" s="6">
        <v>1E-3</v>
      </c>
      <c r="P17" s="6">
        <v>1E-3</v>
      </c>
      <c r="Q17" s="6">
        <v>1E-3</v>
      </c>
      <c r="R17" s="6">
        <v>1E-3</v>
      </c>
    </row>
    <row r="18" spans="1:18" x14ac:dyDescent="0.25">
      <c r="A18" s="39" t="s">
        <v>116</v>
      </c>
      <c r="B18" s="6">
        <f>ROUND((fy22_summary_bnft_projection!D95/fy22_summary_bnft_projection!$D$43),3)</f>
        <v>2E-3</v>
      </c>
      <c r="C18" s="6">
        <f>ROUND((fy22_summary_bnft_projection!G95/fy22_summary_bnft_projection!$G$43),3)</f>
        <v>2E-3</v>
      </c>
      <c r="D18" s="6">
        <f>ROUND((fy22_summary_bnft_projection!H95/fy22_summary_bnft_projection!$L$43),3)</f>
        <v>2E-3</v>
      </c>
      <c r="E18" s="6">
        <f>ROUND((fy22_summary_bnft_projection!I95/fy22_summary_bnft_projection!$N$43),3)</f>
        <v>2E-3</v>
      </c>
      <c r="F18" s="6">
        <f>ROUND((fy22_summary_bnft_projection!J95/fy22_summary_bnft_projection!$R$43),3)</f>
        <v>1E-3</v>
      </c>
      <c r="H18" s="6">
        <f>ROUND((fy22_summary_bnft_projection!E25/fy22_summary_bnft_projection!$E$13),3)</f>
        <v>5.0000000000000001E-3</v>
      </c>
      <c r="I18" s="6">
        <f>ROUND((fy22_summary_bnft_projection!K25/fy22_summary_bnft_projection!$K$13),3)</f>
        <v>5.0000000000000001E-3</v>
      </c>
      <c r="J18" s="6">
        <f>ROUND((fy22_summary_bnft_projection!M25/fy22_summary_bnft_projection!$M$13),3)</f>
        <v>5.0000000000000001E-3</v>
      </c>
      <c r="K18" s="6">
        <f>ROUND((fy22_summary_bnft_projection!O25/fy22_summary_bnft_projection!$O$13),3)</f>
        <v>5.0000000000000001E-3</v>
      </c>
      <c r="L18" s="6">
        <f>ROUND((fy22_summary_bnft_projection!S25/fy22_summary_bnft_projection!$S$13),3)</f>
        <v>5.0000000000000001E-3</v>
      </c>
      <c r="N18" s="39" t="s">
        <v>116</v>
      </c>
      <c r="O18" s="6">
        <v>2E-3</v>
      </c>
      <c r="P18" s="6">
        <v>2E-3</v>
      </c>
      <c r="Q18" s="6">
        <v>2E-3</v>
      </c>
      <c r="R18" s="6">
        <v>2E-3</v>
      </c>
    </row>
    <row r="19" spans="1:18" x14ac:dyDescent="0.25">
      <c r="A19" s="39" t="s">
        <v>117</v>
      </c>
      <c r="B19" s="6">
        <f>ROUND((fy22_summary_bnft_projection!D101/fy22_summary_bnft_projection!$D$43),3)+0.001</f>
        <v>1E-3</v>
      </c>
      <c r="C19" s="6">
        <f>ROUND((fy22_summary_bnft_projection!G101/fy22_summary_bnft_projection!$G$43),3)+0.001</f>
        <v>1E-3</v>
      </c>
      <c r="D19" s="6">
        <f>ROUND((fy22_summary_bnft_projection!H101/fy22_summary_bnft_projection!$L$43),3)</f>
        <v>0</v>
      </c>
      <c r="E19" s="6">
        <f>ROUND((fy22_summary_bnft_projection!I101/fy22_summary_bnft_projection!$N$43),3)</f>
        <v>0</v>
      </c>
      <c r="F19" s="6">
        <f>ROUND((fy22_summary_bnft_projection!J101/fy22_summary_bnft_projection!$R$43),3)</f>
        <v>0</v>
      </c>
      <c r="H19" s="6">
        <f>ROUND((fy22_summary_bnft_projection!E30/fy22_summary_bnft_projection!$E$13),3)+0.001</f>
        <v>1E-3</v>
      </c>
      <c r="I19" s="6">
        <f>ROUND((fy22_summary_bnft_projection!K30/fy22_summary_bnft_projection!$K$13),3)+0.001</f>
        <v>1E-3</v>
      </c>
      <c r="J19" s="6">
        <f>ROUND((fy22_summary_bnft_projection!M30/fy22_summary_bnft_projection!$M$13),3)</f>
        <v>0</v>
      </c>
      <c r="K19" s="6">
        <f>ROUND((fy22_summary_bnft_projection!O30/fy22_summary_bnft_projection!$O$13),3)</f>
        <v>0</v>
      </c>
      <c r="L19" s="6">
        <f>ROUND((fy22_summary_bnft_projection!S30/fy22_summary_bnft_projection!$S$13),3)</f>
        <v>0</v>
      </c>
      <c r="N19" s="39" t="s">
        <v>117</v>
      </c>
      <c r="O19" s="6">
        <v>1E-3</v>
      </c>
      <c r="P19" s="6">
        <v>1E-3</v>
      </c>
      <c r="Q19" s="6">
        <v>1E-3</v>
      </c>
      <c r="R19" s="6">
        <v>1E-3</v>
      </c>
    </row>
    <row r="20" spans="1:18" x14ac:dyDescent="0.25">
      <c r="A20" s="39" t="s">
        <v>118</v>
      </c>
      <c r="B20" s="6">
        <f>ROUND((fy22_summary_bnft_projection!D102/fy22_summary_bnft_projection!$D$43),3)</f>
        <v>3.0000000000000001E-3</v>
      </c>
      <c r="C20" s="6">
        <f>ROUND((fy22_summary_bnft_projection!G102/fy22_summary_bnft_projection!$G$43),3)</f>
        <v>6.0000000000000001E-3</v>
      </c>
      <c r="D20" s="6">
        <f>ROUND((fy22_summary_bnft_projection!H102/fy22_summary_bnft_projection!$L$43),3)</f>
        <v>0</v>
      </c>
      <c r="E20" s="6">
        <f>ROUND((fy22_summary_bnft_projection!I102/fy22_summary_bnft_projection!$N$43),3)</f>
        <v>0</v>
      </c>
      <c r="F20" s="6">
        <f>ROUND((fy22_summary_bnft_projection!J102/fy22_summary_bnft_projection!$R$43),3)</f>
        <v>0</v>
      </c>
      <c r="H20" s="6">
        <f>ROUND((fy22_summary_bnft_projection!E31/fy22_summary_bnft_projection!$E$13),3)</f>
        <v>6.0000000000000001E-3</v>
      </c>
      <c r="I20" s="6">
        <f>ROUND((fy22_summary_bnft_projection!K31/fy22_summary_bnft_projection!$K$13),3)</f>
        <v>6.0000000000000001E-3</v>
      </c>
      <c r="J20" s="6">
        <f>ROUND((fy22_summary_bnft_projection!M31/fy22_summary_bnft_projection!$M$13),3)</f>
        <v>0</v>
      </c>
      <c r="K20" s="6">
        <f>ROUND((fy22_summary_bnft_projection!O31/fy22_summary_bnft_projection!$O$13),3)</f>
        <v>0</v>
      </c>
      <c r="L20" s="6">
        <f>ROUND((fy22_summary_bnft_projection!S31/fy22_summary_bnft_projection!$S$13),3)</f>
        <v>0</v>
      </c>
      <c r="N20" s="39" t="s">
        <v>118</v>
      </c>
      <c r="O20" s="6">
        <v>1E-3</v>
      </c>
      <c r="P20" s="6">
        <v>1E-3</v>
      </c>
      <c r="Q20" s="6">
        <v>1E-3</v>
      </c>
      <c r="R20" s="6">
        <v>1E-3</v>
      </c>
    </row>
    <row r="21" spans="1:18" x14ac:dyDescent="0.25">
      <c r="A21" s="39" t="s">
        <v>119</v>
      </c>
      <c r="B21" s="6">
        <v>0</v>
      </c>
      <c r="C21" s="6">
        <v>0</v>
      </c>
      <c r="D21" s="6">
        <f>ROUND((fy22_summary_bnft_projection!H98/fy22_summary_bnft_projection!$L$43),3)</f>
        <v>0</v>
      </c>
      <c r="E21" s="6">
        <f>ROUND((fy22_summary_bnft_projection!I98/fy22_summary_bnft_projection!$N$43),3)</f>
        <v>0</v>
      </c>
      <c r="F21" s="6">
        <f>ROUND((fy22_summary_bnft_projection!J98/fy22_summary_bnft_projection!$R$43),3)-0.002</f>
        <v>0.111</v>
      </c>
      <c r="H21" s="6">
        <f>ROUND((fy22_summary_bnft_projection!E27/fy22_summary_bnft_projection!$E$13),3)</f>
        <v>0</v>
      </c>
      <c r="I21" s="6">
        <f>ROUND((fy22_summary_bnft_projection!K27/fy22_summary_bnft_projection!$K$13),3)</f>
        <v>0</v>
      </c>
      <c r="J21" s="6">
        <f>ROUND((fy22_summary_bnft_projection!M27/fy22_summary_bnft_projection!$M$13),3)</f>
        <v>0</v>
      </c>
      <c r="K21" s="6">
        <f>ROUND((fy22_summary_bnft_projection!O27/fy22_summary_bnft_projection!$O$13),3)</f>
        <v>0</v>
      </c>
      <c r="L21" s="6">
        <f>ROUND((fy22_summary_bnft_projection!S27/fy22_summary_bnft_projection!$S$13),3)</f>
        <v>0.109</v>
      </c>
      <c r="N21" s="39" t="s">
        <v>119</v>
      </c>
      <c r="O21" s="6">
        <v>0</v>
      </c>
      <c r="P21" s="6">
        <v>0</v>
      </c>
      <c r="Q21" s="6">
        <v>0</v>
      </c>
      <c r="R21" s="6">
        <v>0</v>
      </c>
    </row>
    <row r="22" spans="1:18" x14ac:dyDescent="0.25">
      <c r="A22" s="39" t="s">
        <v>120</v>
      </c>
      <c r="B22" s="6">
        <f>ROUND((fy22_summary_bnft_projection!D103/fy22_summary_bnft_projection!$D$43),3)</f>
        <v>8.0000000000000002E-3</v>
      </c>
      <c r="C22" s="6">
        <f>ROUND((fy22_summary_bnft_projection!G103/fy22_summary_bnft_projection!$G$43),3)</f>
        <v>1.4999999999999999E-2</v>
      </c>
      <c r="D22" s="6">
        <f>ROUND((fy22_summary_bnft_projection!H103/fy22_summary_bnft_projection!$L$43),3)</f>
        <v>0</v>
      </c>
      <c r="E22" s="6">
        <f>ROUND((fy22_summary_bnft_projection!I103/fy22_summary_bnft_projection!$N$43),3)</f>
        <v>0</v>
      </c>
      <c r="F22" s="6">
        <f>ROUND((fy22_summary_bnft_projection!J103/fy22_summary_bnft_projection!$R$43),3)</f>
        <v>0</v>
      </c>
      <c r="H22" s="6">
        <f>ROUND((fy22_summary_bnft_projection!E32/fy22_summary_bnft_projection!$E$13),3)</f>
        <v>1.4999999999999999E-2</v>
      </c>
      <c r="I22" s="6">
        <f>ROUND((fy22_summary_bnft_projection!K32/fy22_summary_bnft_projection!$K$13),3)</f>
        <v>1.4E-2</v>
      </c>
      <c r="J22" s="6">
        <f>ROUND((fy22_summary_bnft_projection!M32/fy22_summary_bnft_projection!$M$13),3)</f>
        <v>0</v>
      </c>
      <c r="K22" s="6">
        <f>ROUND((fy22_summary_bnft_projection!O32/fy22_summary_bnft_projection!$O$13),3)</f>
        <v>0</v>
      </c>
      <c r="L22" s="6">
        <f>ROUND((fy22_summary_bnft_projection!S32/fy22_summary_bnft_projection!$S$13),3)</f>
        <v>0</v>
      </c>
      <c r="N22" s="39" t="s">
        <v>120</v>
      </c>
      <c r="O22" s="6">
        <v>2E-3</v>
      </c>
      <c r="P22" s="6">
        <v>2E-3</v>
      </c>
      <c r="Q22" s="6">
        <v>2E-3</v>
      </c>
      <c r="R22" s="6">
        <v>2E-3</v>
      </c>
    </row>
    <row r="23" spans="1:18" x14ac:dyDescent="0.25">
      <c r="A23" s="39" t="s">
        <v>121</v>
      </c>
      <c r="B23" s="6">
        <f>ROUND((fy22_summary_bnft_projection!D104/fy22_summary_bnft_projection!$D$43),3)</f>
        <v>3.0000000000000001E-3</v>
      </c>
      <c r="C23" s="6">
        <f>ROUND((fy22_summary_bnft_projection!G104/fy22_summary_bnft_projection!$G$43),3)</f>
        <v>6.0000000000000001E-3</v>
      </c>
      <c r="D23" s="6">
        <f>ROUND((fy22_summary_bnft_projection!H104/fy22_summary_bnft_projection!$L$43),3)</f>
        <v>0</v>
      </c>
      <c r="E23" s="6">
        <f>ROUND((fy22_summary_bnft_projection!I104/fy22_summary_bnft_projection!$N$43),3)</f>
        <v>0</v>
      </c>
      <c r="F23" s="6">
        <f>ROUND((fy22_summary_bnft_projection!J104/fy22_summary_bnft_projection!$R$43),3)</f>
        <v>0</v>
      </c>
      <c r="H23" s="6">
        <f>ROUND((fy22_summary_bnft_projection!E33/fy22_summary_bnft_projection!$E$13),3)</f>
        <v>5.0000000000000001E-3</v>
      </c>
      <c r="I23" s="6">
        <f>ROUND((fy22_summary_bnft_projection!K33/fy22_summary_bnft_projection!$K$13),3)</f>
        <v>5.0000000000000001E-3</v>
      </c>
      <c r="J23" s="6">
        <f>ROUND((fy22_summary_bnft_projection!M33/fy22_summary_bnft_projection!$M$13),3)</f>
        <v>0</v>
      </c>
      <c r="K23" s="6">
        <f>ROUND((fy22_summary_bnft_projection!O33/fy22_summary_bnft_projection!$O$13),3)</f>
        <v>0</v>
      </c>
      <c r="L23" s="6">
        <f>ROUND((fy22_summary_bnft_projection!S33/fy22_summary_bnft_projection!$S$13),3)</f>
        <v>0</v>
      </c>
      <c r="N23" s="39" t="s">
        <v>121</v>
      </c>
      <c r="O23" s="6">
        <v>1E-3</v>
      </c>
      <c r="P23" s="6">
        <v>1E-3</v>
      </c>
      <c r="Q23" s="6">
        <v>1E-3</v>
      </c>
      <c r="R23" s="6">
        <v>1E-3</v>
      </c>
    </row>
    <row r="24" spans="1:18" x14ac:dyDescent="0.25">
      <c r="A24" s="40" t="s">
        <v>122</v>
      </c>
      <c r="B24" s="6">
        <f>'Rate Summary'!B2</f>
        <v>0.26</v>
      </c>
      <c r="C24" s="6">
        <f>'Rate Summary'!B3</f>
        <v>0.34300000000000003</v>
      </c>
      <c r="D24" s="6">
        <f>'Rate Summary'!B4</f>
        <v>0.159</v>
      </c>
      <c r="E24" s="6">
        <f>'Rate Summary'!B5</f>
        <v>4.0000000000000001E-3</v>
      </c>
      <c r="F24" s="6">
        <f>'Rate Summary'!B6</f>
        <v>0.113</v>
      </c>
      <c r="H24" s="6">
        <f>'Rate Summary'!B9</f>
        <v>0.35199999999999998</v>
      </c>
      <c r="I24" s="6">
        <f>'Rate Summary'!B10</f>
        <v>0.33200000000000002</v>
      </c>
      <c r="J24" s="6">
        <f>'Rate Summary'!B11</f>
        <v>0.16200000000000001</v>
      </c>
      <c r="K24" s="6">
        <f>'Rate Summary'!B12</f>
        <v>7.0000000000000001E-3</v>
      </c>
      <c r="L24" s="6">
        <f>'Rate Summary'!B13</f>
        <v>0.11600000000000001</v>
      </c>
      <c r="N24" s="40" t="s">
        <v>122</v>
      </c>
      <c r="O24" s="6">
        <f>'Rate Summary'!B22</f>
        <v>0.14499999999999999</v>
      </c>
      <c r="P24" s="6">
        <f>'Rate Summary'!B23</f>
        <v>0.19500000000000001</v>
      </c>
      <c r="Q24" s="6">
        <f>'Rate Summary'!B24</f>
        <v>0.185</v>
      </c>
      <c r="R24" s="6">
        <f>'Rate Summary'!B25</f>
        <v>0.23899999999999999</v>
      </c>
    </row>
    <row r="25" spans="1:18" x14ac:dyDescent="0.25">
      <c r="A25" s="41"/>
      <c r="B25" s="6"/>
      <c r="C25" s="6"/>
      <c r="D25" s="6"/>
      <c r="E25" s="6"/>
      <c r="F25" s="6"/>
      <c r="H25" s="6"/>
      <c r="I25" s="6"/>
      <c r="J25" s="6"/>
      <c r="K25" s="6"/>
      <c r="L25" s="6"/>
      <c r="N25" s="41"/>
      <c r="O25" s="6"/>
      <c r="P25" s="6"/>
      <c r="Q25" s="6"/>
      <c r="R25" s="6"/>
    </row>
    <row r="26" spans="1:18" x14ac:dyDescent="0.25">
      <c r="A26" s="42" t="s">
        <v>123</v>
      </c>
      <c r="B26" s="6">
        <f>SUM(B5:B7,B13:B23)</f>
        <v>0.26</v>
      </c>
      <c r="C26" s="6">
        <f t="shared" ref="C26:F26" si="5">SUM(C5:C7,C13:C23)</f>
        <v>0.34300000000000008</v>
      </c>
      <c r="D26" s="6">
        <f t="shared" si="5"/>
        <v>0.159</v>
      </c>
      <c r="E26" s="6">
        <f t="shared" si="5"/>
        <v>4.0000000000000001E-3</v>
      </c>
      <c r="F26" s="6">
        <f t="shared" si="5"/>
        <v>0.113</v>
      </c>
      <c r="H26" s="6">
        <f>SUM(H5:H7,H13:H23)</f>
        <v>0.35200000000000004</v>
      </c>
      <c r="I26" s="6">
        <f t="shared" ref="I26:L26" si="6">SUM(I5:I7,I13:I23)</f>
        <v>0.33200000000000002</v>
      </c>
      <c r="J26" s="6">
        <f t="shared" si="6"/>
        <v>0.16200000000000001</v>
      </c>
      <c r="K26" s="6">
        <f t="shared" si="6"/>
        <v>7.0000000000000001E-3</v>
      </c>
      <c r="L26" s="6">
        <f t="shared" si="6"/>
        <v>0.11600000000000001</v>
      </c>
      <c r="N26" s="42" t="s">
        <v>123</v>
      </c>
      <c r="O26" s="6">
        <f t="shared" ref="O26:R26" si="7">SUM(O5:O7,O13:O23)</f>
        <v>0.14500000000000002</v>
      </c>
      <c r="P26" s="6">
        <f t="shared" si="7"/>
        <v>0.19500000000000001</v>
      </c>
      <c r="Q26" s="6">
        <f t="shared" si="7"/>
        <v>0.18500000000000005</v>
      </c>
      <c r="R26" s="6">
        <f t="shared" si="7"/>
        <v>0.23900000000000005</v>
      </c>
    </row>
    <row r="28" spans="1:18" x14ac:dyDescent="0.25">
      <c r="B28" s="45">
        <f>B24-B26</f>
        <v>0</v>
      </c>
      <c r="C28" s="45">
        <f t="shared" ref="C28:F28" si="8">C24-C26</f>
        <v>0</v>
      </c>
      <c r="D28" s="45">
        <f t="shared" si="8"/>
        <v>0</v>
      </c>
      <c r="E28" s="45">
        <f t="shared" si="8"/>
        <v>0</v>
      </c>
      <c r="F28" s="45">
        <f t="shared" si="8"/>
        <v>0</v>
      </c>
      <c r="H28" s="45">
        <f>H24-H26</f>
        <v>0</v>
      </c>
      <c r="I28" s="45">
        <f t="shared" ref="I28:L28" si="9">I24-I26</f>
        <v>0</v>
      </c>
      <c r="J28" s="45">
        <f t="shared" si="9"/>
        <v>0</v>
      </c>
      <c r="K28" s="45">
        <f t="shared" si="9"/>
        <v>0</v>
      </c>
      <c r="L28" s="45">
        <f t="shared" si="9"/>
        <v>0</v>
      </c>
      <c r="O28" s="45">
        <f t="shared" ref="O28:R28" si="10">O24-O26</f>
        <v>0</v>
      </c>
      <c r="P28" s="45">
        <f t="shared" si="10"/>
        <v>0</v>
      </c>
      <c r="Q28" s="45">
        <f t="shared" si="10"/>
        <v>0</v>
      </c>
      <c r="R28" s="45">
        <f t="shared" si="10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CA40-DBBF-480F-90ED-EB1F31B9506F}">
  <dimension ref="A2:U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3.2" x14ac:dyDescent="0.25"/>
  <cols>
    <col min="1" max="1" width="23.109375" bestFit="1" customWidth="1"/>
    <col min="2" max="2" width="9.33203125" customWidth="1"/>
    <col min="3" max="4" width="23.109375" customWidth="1"/>
    <col min="5" max="9" width="10.6640625" customWidth="1"/>
    <col min="10" max="10" width="2.6640625" customWidth="1"/>
    <col min="11" max="15" width="10.6640625" customWidth="1"/>
    <col min="16" max="16" width="2.44140625" customWidth="1"/>
    <col min="17" max="17" width="23.109375" customWidth="1"/>
    <col min="18" max="21" width="9.109375" customWidth="1"/>
  </cols>
  <sheetData>
    <row r="2" spans="1:21" x14ac:dyDescent="0.25">
      <c r="E2" s="44" t="s">
        <v>127</v>
      </c>
      <c r="F2" s="43"/>
      <c r="G2" s="43"/>
      <c r="H2" s="43"/>
      <c r="I2" s="43"/>
      <c r="K2" s="44" t="s">
        <v>35</v>
      </c>
      <c r="L2" s="43"/>
      <c r="M2" s="43"/>
      <c r="N2" s="43"/>
      <c r="O2" s="43"/>
    </row>
    <row r="3" spans="1:21" x14ac:dyDescent="0.25">
      <c r="E3" s="2" t="s">
        <v>9</v>
      </c>
      <c r="F3" s="2" t="s">
        <v>124</v>
      </c>
      <c r="G3" s="2" t="s">
        <v>12</v>
      </c>
      <c r="H3" s="2" t="s">
        <v>125</v>
      </c>
      <c r="I3" s="2" t="s">
        <v>126</v>
      </c>
      <c r="K3" s="2" t="s">
        <v>9</v>
      </c>
      <c r="L3" s="2" t="s">
        <v>124</v>
      </c>
      <c r="M3" s="2" t="s">
        <v>12</v>
      </c>
      <c r="N3" s="2" t="s">
        <v>125</v>
      </c>
      <c r="O3" s="2" t="s">
        <v>126</v>
      </c>
    </row>
    <row r="4" spans="1:21" x14ac:dyDescent="0.25">
      <c r="A4" s="1" t="s">
        <v>162</v>
      </c>
      <c r="B4" s="1" t="s">
        <v>165</v>
      </c>
      <c r="C4" s="61" t="s">
        <v>163</v>
      </c>
      <c r="D4" s="61" t="s">
        <v>164</v>
      </c>
      <c r="E4" s="2" t="s">
        <v>18</v>
      </c>
      <c r="F4" s="2" t="s">
        <v>97</v>
      </c>
      <c r="G4" s="2" t="s">
        <v>24</v>
      </c>
      <c r="H4" s="2" t="s">
        <v>26</v>
      </c>
      <c r="I4" s="2" t="s">
        <v>30</v>
      </c>
      <c r="K4" s="2" t="s">
        <v>18</v>
      </c>
      <c r="L4" s="2" t="s">
        <v>97</v>
      </c>
      <c r="M4" s="2" t="s">
        <v>24</v>
      </c>
      <c r="N4" s="2" t="s">
        <v>26</v>
      </c>
      <c r="O4" s="2" t="s">
        <v>30</v>
      </c>
      <c r="R4" s="2" t="s">
        <v>101</v>
      </c>
      <c r="S4" s="2" t="s">
        <v>102</v>
      </c>
      <c r="T4" s="2" t="s">
        <v>160</v>
      </c>
      <c r="U4" s="2" t="s">
        <v>103</v>
      </c>
    </row>
    <row r="5" spans="1:21" x14ac:dyDescent="0.25">
      <c r="A5" s="50" t="s">
        <v>42</v>
      </c>
      <c r="B5" s="50" t="s">
        <v>138</v>
      </c>
      <c r="C5" t="s">
        <v>166</v>
      </c>
      <c r="D5" t="s">
        <v>167</v>
      </c>
      <c r="E5" s="6">
        <f>ROUND('Components UNIV HS &amp; FGP'!B5/'Components UNIV HS &amp; FGP'!$B$24,3)</f>
        <v>0.54200000000000004</v>
      </c>
      <c r="F5" s="6">
        <f>ROUND('Components UNIV HS &amp; FGP'!C5/'Components UNIV HS &amp; FGP'!$C$24,3)</f>
        <v>0</v>
      </c>
      <c r="G5" s="6">
        <f>ROUND('Components UNIV HS &amp; FGP'!D5/'Components UNIV HS &amp; FGP'!$D$24,3)</f>
        <v>0.88700000000000001</v>
      </c>
      <c r="H5" s="6">
        <f>ROUND('Components UNIV HS &amp; FGP'!E5/'Components UNIV HS &amp; FGP'!$E$24,3)</f>
        <v>0</v>
      </c>
      <c r="I5" s="6">
        <f>ROUND('Components UNIV HS &amp; FGP'!F5/'Components UNIV HS &amp; FGP'!$F$24,3)</f>
        <v>0</v>
      </c>
      <c r="K5" s="6">
        <f>ROUND('Components UNIV HS &amp; FGP'!H5/'Components UNIV HS &amp; FGP'!H$24,3)</f>
        <v>0.40100000000000002</v>
      </c>
      <c r="L5" s="6">
        <f>ROUND('Components UNIV HS &amp; FGP'!I5/'Components UNIV HS &amp; FGP'!I$24,3)</f>
        <v>0</v>
      </c>
      <c r="M5" s="6">
        <f>ROUND('Components UNIV HS &amp; FGP'!J5/'Components UNIV HS &amp; FGP'!J$24,3)+0.001</f>
        <v>0.871</v>
      </c>
      <c r="N5" s="6">
        <f>ROUND('Components UNIV HS &amp; FGP'!K5/'Components UNIV HS &amp; FGP'!K$24,3)</f>
        <v>0</v>
      </c>
      <c r="O5" s="6">
        <f>ROUND('Components UNIV HS &amp; FGP'!L5/'Components UNIV HS &amp; FGP'!L$24,3)</f>
        <v>0</v>
      </c>
      <c r="Q5" s="38" t="s">
        <v>42</v>
      </c>
      <c r="R5" s="6">
        <f>ROUND('Components UNIV HS &amp; FGP'!O5/'Components UNIV HS &amp; FGP'!O$24,3)</f>
        <v>0.69</v>
      </c>
      <c r="S5" s="6">
        <f>ROUND('Components UNIV HS &amp; FGP'!P5/'Components UNIV HS &amp; FGP'!P$24,3)</f>
        <v>0.76900000000000002</v>
      </c>
      <c r="T5" s="6">
        <f>ROUND('Components UNIV HS &amp; FGP'!Q5/'Components UNIV HS &amp; FGP'!Q$24,3)</f>
        <v>0</v>
      </c>
      <c r="U5" s="6">
        <f>ROUND('Components UNIV HS &amp; FGP'!R5/'Components UNIV HS &amp; FGP'!R$24,3)</f>
        <v>0.81200000000000006</v>
      </c>
    </row>
    <row r="6" spans="1:21" x14ac:dyDescent="0.25">
      <c r="A6" s="50" t="s">
        <v>44</v>
      </c>
      <c r="B6" s="50" t="s">
        <v>139</v>
      </c>
      <c r="C6" t="s">
        <v>166</v>
      </c>
      <c r="D6" t="s">
        <v>167</v>
      </c>
      <c r="E6" s="6">
        <f>ROUND('Components UNIV HS &amp; FGP'!B6/'Components UNIV HS &amp; FGP'!$B$24,3)</f>
        <v>0</v>
      </c>
      <c r="F6" s="6">
        <f>ROUND('Components UNIV HS &amp; FGP'!C6/'Components UNIV HS &amp; FGP'!$C$24,3)</f>
        <v>0.40799999999999997</v>
      </c>
      <c r="G6" s="6">
        <f>ROUND('Components UNIV HS &amp; FGP'!D6/'Components UNIV HS &amp; FGP'!$D$24,3)</f>
        <v>0</v>
      </c>
      <c r="H6" s="6">
        <f>ROUND('Components UNIV HS &amp; FGP'!E6/'Components UNIV HS &amp; FGP'!$E$24,3)</f>
        <v>0</v>
      </c>
      <c r="I6" s="6">
        <f>ROUND('Components UNIV HS &amp; FGP'!F6/'Components UNIV HS &amp; FGP'!$F$24,3)</f>
        <v>0</v>
      </c>
      <c r="K6" s="6">
        <f>ROUND('Components UNIV HS &amp; FGP'!H6/'Components UNIV HS &amp; FGP'!H$24,3)</f>
        <v>0</v>
      </c>
      <c r="L6" s="6">
        <f>ROUND('Components UNIV HS &amp; FGP'!I6/'Components UNIV HS &amp; FGP'!I$24,3)</f>
        <v>0.42499999999999999</v>
      </c>
      <c r="M6" s="6">
        <f>ROUND('Components UNIV HS &amp; FGP'!J6/'Components UNIV HS &amp; FGP'!J$24,3)</f>
        <v>0</v>
      </c>
      <c r="N6" s="6">
        <f>ROUND('Components UNIV HS &amp; FGP'!K6/'Components UNIV HS &amp; FGP'!K$24,3)</f>
        <v>0</v>
      </c>
      <c r="O6" s="6">
        <f>ROUND('Components UNIV HS &amp; FGP'!L6/'Components UNIV HS &amp; FGP'!L$24,3)</f>
        <v>0</v>
      </c>
      <c r="Q6" s="39" t="s">
        <v>158</v>
      </c>
      <c r="R6" s="6">
        <f>ROUND('Components UNIV HS &amp; FGP'!O6/'Components UNIV HS &amp; FGP'!O$24,3)</f>
        <v>0</v>
      </c>
      <c r="S6" s="6">
        <f>ROUND('Components UNIV HS &amp; FGP'!P6/'Components UNIV HS &amp; FGP'!P$24,3)</f>
        <v>0</v>
      </c>
      <c r="T6" s="6">
        <f>ROUND('Components UNIV HS &amp; FGP'!Q6/'Components UNIV HS &amp; FGP'!Q$24,3)</f>
        <v>0.75700000000000001</v>
      </c>
      <c r="U6" s="6">
        <f>ROUND('Components UNIV HS &amp; FGP'!R6/'Components UNIV HS &amp; FGP'!R$24,3)</f>
        <v>0</v>
      </c>
    </row>
    <row r="7" spans="1:21" x14ac:dyDescent="0.25">
      <c r="A7" s="50" t="s">
        <v>46</v>
      </c>
      <c r="B7" s="51" t="s">
        <v>140</v>
      </c>
      <c r="C7" t="s">
        <v>166</v>
      </c>
      <c r="D7" t="s">
        <v>167</v>
      </c>
      <c r="E7" s="6">
        <f>ROUND('Components UNIV HS &amp; FGP'!B7/'Components UNIV HS &amp; FGP'!$B$24,3)</f>
        <v>5.3999999999999999E-2</v>
      </c>
      <c r="F7" s="6">
        <f>ROUND('Components UNIV HS &amp; FGP'!C7/'Components UNIV HS &amp; FGP'!$C$24,3)</f>
        <v>4.1000000000000002E-2</v>
      </c>
      <c r="G7" s="6">
        <f>ROUND('Components UNIV HS &amp; FGP'!D7/'Components UNIV HS &amp; FGP'!$D$24,3)-0.001</f>
        <v>8.6999999999999994E-2</v>
      </c>
      <c r="H7" s="6">
        <f>ROUND('Components UNIV HS &amp; FGP'!E7/'Components UNIV HS &amp; FGP'!$E$24,3)</f>
        <v>0</v>
      </c>
      <c r="I7" s="6">
        <f>ROUND('Components UNIV HS &amp; FGP'!F7/'Components UNIV HS &amp; FGP'!$F$24,3)</f>
        <v>0</v>
      </c>
      <c r="K7" s="6">
        <f>ROUND('Components UNIV HS &amp; FGP'!H7/'Components UNIV HS &amp; FGP'!H$24,3)</f>
        <v>0.04</v>
      </c>
      <c r="L7" s="6">
        <f>ROUND('Components UNIV HS &amp; FGP'!I7/'Components UNIV HS &amp; FGP'!I$24,3)</f>
        <v>4.2000000000000003E-2</v>
      </c>
      <c r="M7" s="6">
        <f>ROUND('Components UNIV HS &amp; FGP'!J7/'Components UNIV HS &amp; FGP'!J$24,3)</f>
        <v>8.5999999999999993E-2</v>
      </c>
      <c r="N7" s="6">
        <f>ROUND('Components UNIV HS &amp; FGP'!K7/'Components UNIV HS &amp; FGP'!K$24,3)</f>
        <v>0</v>
      </c>
      <c r="O7" s="6">
        <f>ROUND('Components UNIV HS &amp; FGP'!L7/'Components UNIV HS &amp; FGP'!L$24,3)</f>
        <v>0</v>
      </c>
      <c r="Q7" s="39" t="s">
        <v>105</v>
      </c>
      <c r="R7" s="6">
        <f>ROUND('Components UNIV HS &amp; FGP'!O7/'Components UNIV HS &amp; FGP'!O$24,3)</f>
        <v>0.09</v>
      </c>
      <c r="S7" s="6">
        <f>ROUND('Components UNIV HS &amp; FGP'!P7/'Components UNIV HS &amp; FGP'!P$24,3)</f>
        <v>6.7000000000000004E-2</v>
      </c>
      <c r="T7" s="6">
        <f>ROUND('Components UNIV HS &amp; FGP'!Q7/'Components UNIV HS &amp; FGP'!Q$24,3)</f>
        <v>7.0000000000000007E-2</v>
      </c>
      <c r="U7" s="6">
        <f>ROUND('Components UNIV HS &amp; FGP'!R7/'Components UNIV HS &amp; FGP'!R$24,3)</f>
        <v>5.3999999999999999E-2</v>
      </c>
    </row>
    <row r="8" spans="1:21" x14ac:dyDescent="0.25">
      <c r="A8" s="55" t="s">
        <v>106</v>
      </c>
      <c r="B8" s="56" t="s">
        <v>141</v>
      </c>
      <c r="C8" t="s">
        <v>166</v>
      </c>
      <c r="D8" t="s">
        <v>167</v>
      </c>
      <c r="E8" s="52">
        <f>ROUND('Components UNIV HS &amp; FGP'!B8/'Components UNIV HS &amp; FGP'!$B$24,3)-0.003</f>
        <v>0.27</v>
      </c>
      <c r="F8" s="52">
        <f>ROUND('Components UNIV HS &amp; FGP'!C8/'Components UNIV HS &amp; FGP'!$C$24,3)-0.001</f>
        <v>0.39300000000000002</v>
      </c>
      <c r="G8" s="52">
        <f>ROUND('Components UNIV HS &amp; FGP'!D8/'Components UNIV HS &amp; FGP'!$D$24,3)</f>
        <v>0</v>
      </c>
      <c r="H8" s="52">
        <f>ROUND('Components UNIV HS &amp; FGP'!E8/'Components UNIV HS &amp; FGP'!$E$24,3)</f>
        <v>0</v>
      </c>
      <c r="I8" s="52">
        <f>ROUND('Components UNIV HS &amp; FGP'!F8/'Components UNIV HS &amp; FGP'!$F$24,3)</f>
        <v>0</v>
      </c>
      <c r="J8" s="53"/>
      <c r="K8" s="52">
        <f>ROUND('Components UNIV HS &amp; FGP'!H8/'Components UNIV HS &amp; FGP'!H$24,3)-0.003</f>
        <v>0.39800000000000002</v>
      </c>
      <c r="L8" s="52">
        <f>ROUND('Components UNIV HS &amp; FGP'!I8/'Components UNIV HS &amp; FGP'!I$24,3)+0.001</f>
        <v>0.371</v>
      </c>
      <c r="M8" s="52">
        <f>ROUND('Components UNIV HS &amp; FGP'!J8/'Components UNIV HS &amp; FGP'!J$24,3)</f>
        <v>0</v>
      </c>
      <c r="N8" s="52">
        <f>ROUND('Components UNIV HS &amp; FGP'!K8/'Components UNIV HS &amp; FGP'!K$24,3)</f>
        <v>0</v>
      </c>
      <c r="O8" s="52">
        <f>ROUND('Components UNIV HS &amp; FGP'!L8/'Components UNIV HS &amp; FGP'!L$24,3)</f>
        <v>0</v>
      </c>
      <c r="Q8" s="52" t="s">
        <v>106</v>
      </c>
      <c r="R8" s="6">
        <f>ROUND('Components UNIV HS &amp; FGP'!O8/'Components UNIV HS &amp; FGP'!O$24,3)-0.003</f>
        <v>0.08</v>
      </c>
      <c r="S8" s="6">
        <f>ROUND('Components UNIV HS &amp; FGP'!P8/'Components UNIV HS &amp; FGP'!P$24,3)+0.001</f>
        <v>6.3E-2</v>
      </c>
      <c r="T8" s="6">
        <f>ROUND('Components UNIV HS &amp; FGP'!Q8/'Components UNIV HS &amp; FGP'!Q$24,3)+0.001</f>
        <v>6.6000000000000003E-2</v>
      </c>
      <c r="U8" s="6">
        <f>ROUND('Components UNIV HS &amp; FGP'!R8/'Components UNIV HS &amp; FGP'!R$24,3)+0.002</f>
        <v>5.2000000000000005E-2</v>
      </c>
    </row>
    <row r="9" spans="1:21" x14ac:dyDescent="0.25">
      <c r="A9" s="55" t="s">
        <v>109</v>
      </c>
      <c r="B9" s="56" t="s">
        <v>142</v>
      </c>
      <c r="C9" t="s">
        <v>166</v>
      </c>
      <c r="D9" t="s">
        <v>167</v>
      </c>
      <c r="E9" s="52">
        <f>ROUND('Components UNIV HS &amp; FGP'!B9/'Components UNIV HS &amp; FGP'!$B$24,3)</f>
        <v>2.7E-2</v>
      </c>
      <c r="F9" s="52">
        <f>ROUND('Components UNIV HS &amp; FGP'!C9/'Components UNIV HS &amp; FGP'!$C$24,3)</f>
        <v>4.1000000000000002E-2</v>
      </c>
      <c r="G9" s="52">
        <f>ROUND('Components UNIV HS &amp; FGP'!D9/'Components UNIV HS &amp; FGP'!$D$24,3)</f>
        <v>0</v>
      </c>
      <c r="H9" s="52">
        <f>ROUND('Components UNIV HS &amp; FGP'!E9/'Components UNIV HS &amp; FGP'!$E$24,3)</f>
        <v>0</v>
      </c>
      <c r="I9" s="52">
        <f>ROUND('Components UNIV HS &amp; FGP'!F9/'Components UNIV HS &amp; FGP'!$F$24,3)</f>
        <v>0</v>
      </c>
      <c r="J9" s="53"/>
      <c r="K9" s="52">
        <f>ROUND('Components UNIV HS &amp; FGP'!H9/'Components UNIV HS &amp; FGP'!H$24,3)</f>
        <v>0.04</v>
      </c>
      <c r="L9" s="52">
        <f>ROUND('Components UNIV HS &amp; FGP'!I9/'Components UNIV HS &amp; FGP'!I$24,3)</f>
        <v>3.9E-2</v>
      </c>
      <c r="M9" s="52">
        <f>ROUND('Components UNIV HS &amp; FGP'!J9/'Components UNIV HS &amp; FGP'!J$24,3)</f>
        <v>0</v>
      </c>
      <c r="N9" s="52">
        <f>ROUND('Components UNIV HS &amp; FGP'!K9/'Components UNIV HS &amp; FGP'!K$24,3)</f>
        <v>0</v>
      </c>
      <c r="O9" s="52">
        <f>ROUND('Components UNIV HS &amp; FGP'!L9/'Components UNIV HS &amp; FGP'!L$24,3)</f>
        <v>0</v>
      </c>
      <c r="Q9" s="52" t="s">
        <v>107</v>
      </c>
      <c r="R9" s="6">
        <f>ROUND('Components UNIV HS &amp; FGP'!O9/'Components UNIV HS &amp; FGP'!O$24,3)</f>
        <v>2.8000000000000001E-2</v>
      </c>
      <c r="S9" s="6">
        <f>ROUND('Components UNIV HS &amp; FGP'!P9/'Components UNIV HS &amp; FGP'!P$24,3)</f>
        <v>2.1000000000000001E-2</v>
      </c>
      <c r="T9" s="6">
        <f>ROUND('Components UNIV HS &amp; FGP'!Q9/'Components UNIV HS &amp; FGP'!Q$24,3)</f>
        <v>2.1999999999999999E-2</v>
      </c>
      <c r="U9" s="6">
        <f>ROUND('Components UNIV HS &amp; FGP'!R9/'Components UNIV HS &amp; FGP'!R$24,3)</f>
        <v>1.7000000000000001E-2</v>
      </c>
    </row>
    <row r="10" spans="1:21" x14ac:dyDescent="0.25">
      <c r="A10" s="55" t="s">
        <v>108</v>
      </c>
      <c r="B10" s="56" t="s">
        <v>143</v>
      </c>
      <c r="C10" t="s">
        <v>166</v>
      </c>
      <c r="D10" t="s">
        <v>167</v>
      </c>
      <c r="E10" s="52">
        <f>ROUND('Components UNIV HS &amp; FGP'!B10/'Components UNIV HS &amp; FGP'!$B$24,3)</f>
        <v>4.0000000000000001E-3</v>
      </c>
      <c r="F10" s="52">
        <f>ROUND('Components UNIV HS &amp; FGP'!C10/'Components UNIV HS &amp; FGP'!$C$24,3)</f>
        <v>3.0000000000000001E-3</v>
      </c>
      <c r="G10" s="52">
        <f>ROUND('Components UNIV HS &amp; FGP'!D10/'Components UNIV HS &amp; FGP'!$D$24,3)</f>
        <v>0</v>
      </c>
      <c r="H10" s="52">
        <f>ROUND('Components UNIV HS &amp; FGP'!E10/'Components UNIV HS &amp; FGP'!$E$24,3)</f>
        <v>0</v>
      </c>
      <c r="I10" s="52">
        <f>ROUND('Components UNIV HS &amp; FGP'!F10/'Components UNIV HS &amp; FGP'!$F$24,3)</f>
        <v>0</v>
      </c>
      <c r="J10" s="53"/>
      <c r="K10" s="52">
        <f>ROUND('Components UNIV HS &amp; FGP'!H10/'Components UNIV HS &amp; FGP'!H$24,3)</f>
        <v>3.0000000000000001E-3</v>
      </c>
      <c r="L10" s="52">
        <f>ROUND('Components UNIV HS &amp; FGP'!I10/'Components UNIV HS &amp; FGP'!I$24,3)</f>
        <v>3.0000000000000001E-3</v>
      </c>
      <c r="M10" s="52">
        <f>ROUND('Components UNIV HS &amp; FGP'!J10/'Components UNIV HS &amp; FGP'!J$24,3)</f>
        <v>0</v>
      </c>
      <c r="N10" s="52">
        <f>ROUND('Components UNIV HS &amp; FGP'!K10/'Components UNIV HS &amp; FGP'!K$24,3)</f>
        <v>0</v>
      </c>
      <c r="O10" s="52">
        <f>ROUND('Components UNIV HS &amp; FGP'!L10/'Components UNIV HS &amp; FGP'!L$24,3)</f>
        <v>0</v>
      </c>
      <c r="Q10" s="52" t="s">
        <v>108</v>
      </c>
      <c r="R10" s="6">
        <f>ROUND('Components UNIV HS &amp; FGP'!O10/'Components UNIV HS &amp; FGP'!O$24,3)</f>
        <v>7.0000000000000001E-3</v>
      </c>
      <c r="S10" s="6">
        <f>ROUND('Components UNIV HS &amp; FGP'!P10/'Components UNIV HS &amp; FGP'!P$24,3)</f>
        <v>5.0000000000000001E-3</v>
      </c>
      <c r="T10" s="6">
        <f>ROUND('Components UNIV HS &amp; FGP'!Q10/'Components UNIV HS &amp; FGP'!Q$24,3)</f>
        <v>5.0000000000000001E-3</v>
      </c>
      <c r="U10" s="6">
        <f>ROUND('Components UNIV HS &amp; FGP'!R10/'Components UNIV HS &amp; FGP'!R$24,3)</f>
        <v>4.0000000000000001E-3</v>
      </c>
    </row>
    <row r="11" spans="1:21" x14ac:dyDescent="0.25">
      <c r="A11" s="55" t="s">
        <v>107</v>
      </c>
      <c r="B11" s="56" t="s">
        <v>144</v>
      </c>
      <c r="C11" t="s">
        <v>166</v>
      </c>
      <c r="D11" t="s">
        <v>167</v>
      </c>
      <c r="E11" s="52">
        <f>ROUND('Components UNIV HS &amp; FGP'!B11/'Components UNIV HS &amp; FGP'!$B$24,3)</f>
        <v>4.0000000000000001E-3</v>
      </c>
      <c r="F11" s="52">
        <f>ROUND('Components UNIV HS &amp; FGP'!C11/'Components UNIV HS &amp; FGP'!$C$24,3)</f>
        <v>3.0000000000000001E-3</v>
      </c>
      <c r="G11" s="52">
        <f>ROUND('Components UNIV HS &amp; FGP'!D11/'Components UNIV HS &amp; FGP'!$D$24,3)</f>
        <v>0</v>
      </c>
      <c r="H11" s="52">
        <f>ROUND('Components UNIV HS &amp; FGP'!E11/'Components UNIV HS &amp; FGP'!$E$24,3)</f>
        <v>0</v>
      </c>
      <c r="I11" s="52">
        <f>ROUND('Components UNIV HS &amp; FGP'!F11/'Components UNIV HS &amp; FGP'!$F$24,3)</f>
        <v>0</v>
      </c>
      <c r="J11" s="53"/>
      <c r="K11" s="52">
        <f>ROUND('Components UNIV HS &amp; FGP'!H11/'Components UNIV HS &amp; FGP'!H$24,3)</f>
        <v>3.0000000000000001E-3</v>
      </c>
      <c r="L11" s="52">
        <f>ROUND('Components UNIV HS &amp; FGP'!I11/'Components UNIV HS &amp; FGP'!I$24,3)</f>
        <v>3.0000000000000001E-3</v>
      </c>
      <c r="M11" s="52">
        <f>ROUND('Components UNIV HS &amp; FGP'!J11/'Components UNIV HS &amp; FGP'!J$24,3)</f>
        <v>0</v>
      </c>
      <c r="N11" s="52">
        <f>ROUND('Components UNIV HS &amp; FGP'!K11/'Components UNIV HS &amp; FGP'!K$24,3)</f>
        <v>0</v>
      </c>
      <c r="O11" s="52">
        <f>ROUND('Components UNIV HS &amp; FGP'!L11/'Components UNIV HS &amp; FGP'!L$24,3)</f>
        <v>0</v>
      </c>
      <c r="Q11" s="52" t="s">
        <v>109</v>
      </c>
      <c r="R11" s="6">
        <f>ROUND('Components UNIV HS &amp; FGP'!O11/'Components UNIV HS &amp; FGP'!O$24,3)</f>
        <v>0</v>
      </c>
      <c r="S11" s="6">
        <f>ROUND('Components UNIV HS &amp; FGP'!P11/'Components UNIV HS &amp; FGP'!P$24,3)</f>
        <v>0</v>
      </c>
      <c r="T11" s="6">
        <f>ROUND('Components UNIV HS &amp; FGP'!Q11/'Components UNIV HS &amp; FGP'!Q$24,3)</f>
        <v>0</v>
      </c>
      <c r="U11" s="6">
        <f>ROUND('Components UNIV HS &amp; FGP'!R11/'Components UNIV HS &amp; FGP'!R$24,3)</f>
        <v>0</v>
      </c>
    </row>
    <row r="12" spans="1:21" x14ac:dyDescent="0.25">
      <c r="A12" s="55" t="s">
        <v>110</v>
      </c>
      <c r="B12" s="56"/>
      <c r="C12" t="s">
        <v>166</v>
      </c>
      <c r="D12" t="s">
        <v>167</v>
      </c>
      <c r="E12" s="52">
        <f>SUM(E8:E11)</f>
        <v>0.30500000000000005</v>
      </c>
      <c r="F12" s="52">
        <f t="shared" ref="F12:I12" si="0">SUM(F8:F11)</f>
        <v>0.44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3"/>
      <c r="K12" s="52">
        <f t="shared" ref="K12:O12" si="1">SUM(K8:K11)</f>
        <v>0.44400000000000001</v>
      </c>
      <c r="L12" s="52">
        <f t="shared" si="1"/>
        <v>0.41599999999999998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Q12" s="52" t="s">
        <v>110</v>
      </c>
      <c r="R12" s="45">
        <f>SUM(R8:R11)</f>
        <v>0.115</v>
      </c>
      <c r="S12" s="45">
        <f t="shared" ref="S12:U12" si="2">SUM(S8:S11)</f>
        <v>8.900000000000001E-2</v>
      </c>
      <c r="T12" s="45">
        <f t="shared" si="2"/>
        <v>9.2999999999999999E-2</v>
      </c>
      <c r="U12" s="45">
        <f t="shared" si="2"/>
        <v>7.3000000000000009E-2</v>
      </c>
    </row>
    <row r="13" spans="1:21" x14ac:dyDescent="0.25">
      <c r="A13" s="55" t="s">
        <v>111</v>
      </c>
      <c r="B13" s="56"/>
      <c r="C13" t="s">
        <v>166</v>
      </c>
      <c r="D13" t="s">
        <v>167</v>
      </c>
      <c r="E13" s="52">
        <f>ROUND('Components UNIV HS &amp; FGP'!B13/'Components UNIV HS &amp; FGP'!$B$24,3)-0.003</f>
        <v>0.30499999999999999</v>
      </c>
      <c r="F13" s="52">
        <f>ROUND('Components UNIV HS &amp; FGP'!C13/'Components UNIV HS &amp; FGP'!$C$24,3)</f>
        <v>0.44</v>
      </c>
      <c r="G13" s="52">
        <f>ROUND('Components UNIV HS &amp; FGP'!D13/'Components UNIV HS &amp; FGP'!$D$24,3)</f>
        <v>0</v>
      </c>
      <c r="H13" s="52">
        <f>ROUND('Components UNIV HS &amp; FGP'!E13/'Components UNIV HS &amp; FGP'!$E$24,3)</f>
        <v>0</v>
      </c>
      <c r="I13" s="52">
        <f>ROUND('Components UNIV HS &amp; FGP'!F13/'Components UNIV HS &amp; FGP'!$F$24,3)</f>
        <v>0</v>
      </c>
      <c r="J13" s="53"/>
      <c r="K13" s="52">
        <f>ROUND('Components UNIV HS &amp; FGP'!H13/'Components UNIV HS &amp; FGP'!H$24,3)-0.002</f>
        <v>0.44400000000000001</v>
      </c>
      <c r="L13" s="52">
        <f>ROUND('Components UNIV HS &amp; FGP'!I13/'Components UNIV HS &amp; FGP'!I$24,3)</f>
        <v>0.41599999999999998</v>
      </c>
      <c r="M13" s="52">
        <f>ROUND('Components UNIV HS &amp; FGP'!J13/'Components UNIV HS &amp; FGP'!J$24,3)</f>
        <v>0</v>
      </c>
      <c r="N13" s="52">
        <f>ROUND('Components UNIV HS &amp; FGP'!K13/'Components UNIV HS &amp; FGP'!K$24,3)</f>
        <v>0</v>
      </c>
      <c r="O13" s="52">
        <f>ROUND('Components UNIV HS &amp; FGP'!L13/'Components UNIV HS &amp; FGP'!L$24,3)</f>
        <v>0</v>
      </c>
      <c r="Q13" s="39" t="s">
        <v>111</v>
      </c>
      <c r="R13" s="6">
        <f>ROUND('Components UNIV HS &amp; FGP'!O13/'Components UNIV HS &amp; FGP'!O$24,3)-0.002</f>
        <v>0.115</v>
      </c>
      <c r="S13" s="6">
        <f>ROUND('Components UNIV HS &amp; FGP'!P13/'Components UNIV HS &amp; FGP'!P$24,3)+0.002</f>
        <v>8.8999999999999996E-2</v>
      </c>
      <c r="T13" s="6">
        <f>ROUND('Components UNIV HS &amp; FGP'!Q13/'Components UNIV HS &amp; FGP'!Q$24,3)+0.001</f>
        <v>9.2999999999999999E-2</v>
      </c>
      <c r="U13" s="6">
        <f>ROUND('Components UNIV HS &amp; FGP'!R13/'Components UNIV HS &amp; FGP'!R$24,3)+0.002</f>
        <v>7.2999999999999995E-2</v>
      </c>
    </row>
    <row r="14" spans="1:21" x14ac:dyDescent="0.25">
      <c r="A14" s="50" t="s">
        <v>137</v>
      </c>
      <c r="B14" s="50" t="s">
        <v>145</v>
      </c>
      <c r="C14" t="s">
        <v>166</v>
      </c>
      <c r="D14" t="s">
        <v>167</v>
      </c>
      <c r="E14" s="6">
        <f>ROUND('Components UNIV HS &amp; FGP'!B14/'Components UNIV HS &amp; FGP'!$B$24,3)</f>
        <v>8.0000000000000002E-3</v>
      </c>
      <c r="F14" s="6">
        <f>ROUND('Components UNIV HS &amp; FGP'!C14/'Components UNIV HS &amp; FGP'!$C$24,3)</f>
        <v>6.0000000000000001E-3</v>
      </c>
      <c r="G14" s="6">
        <f>ROUND('Components UNIV HS &amp; FGP'!D14/'Components UNIV HS &amp; FGP'!$D$24,3)</f>
        <v>1.2999999999999999E-2</v>
      </c>
      <c r="H14" s="6">
        <f>ROUND('Components UNIV HS &amp; FGP'!E14/'Components UNIV HS &amp; FGP'!$E$24,3)</f>
        <v>0.5</v>
      </c>
      <c r="I14" s="6">
        <f>ROUND('Components UNIV HS &amp; FGP'!F14/'Components UNIV HS &amp; FGP'!$F$24,3)</f>
        <v>8.9999999999999993E-3</v>
      </c>
      <c r="K14" s="6">
        <f>ROUND('Components UNIV HS &amp; FGP'!H14/'Components UNIV HS &amp; FGP'!H$24,3)</f>
        <v>6.0000000000000001E-3</v>
      </c>
      <c r="L14" s="6">
        <f>ROUND('Components UNIV HS &amp; FGP'!I14/'Components UNIV HS &amp; FGP'!I$24,3)</f>
        <v>6.0000000000000001E-3</v>
      </c>
      <c r="M14" s="6">
        <f>ROUND('Components UNIV HS &amp; FGP'!J14/'Components UNIV HS &amp; FGP'!J$24,3)</f>
        <v>1.2E-2</v>
      </c>
      <c r="N14" s="6">
        <f>ROUND('Components UNIV HS &amp; FGP'!K14/'Components UNIV HS &amp; FGP'!K$24,3)</f>
        <v>0.28599999999999998</v>
      </c>
      <c r="O14" s="6">
        <f>ROUND('Components UNIV HS &amp; FGP'!L14/'Components UNIV HS &amp; FGP'!L$24,3)</f>
        <v>1.7000000000000001E-2</v>
      </c>
      <c r="Q14" s="39" t="s">
        <v>112</v>
      </c>
      <c r="R14" s="6">
        <f>ROUND('Components UNIV HS &amp; FGP'!O14/'Components UNIV HS &amp; FGP'!O$24,3)</f>
        <v>1.4E-2</v>
      </c>
      <c r="S14" s="6">
        <f>ROUND('Components UNIV HS &amp; FGP'!P14/'Components UNIV HS &amp; FGP'!P$24,3)</f>
        <v>0.01</v>
      </c>
      <c r="T14" s="6">
        <f>ROUND('Components UNIV HS &amp; FGP'!Q14/'Components UNIV HS &amp; FGP'!Q$24,3)</f>
        <v>1.0999999999999999E-2</v>
      </c>
      <c r="U14" s="6">
        <f>ROUND('Components UNIV HS &amp; FGP'!R14/'Components UNIV HS &amp; FGP'!R$24,3)</f>
        <v>8.0000000000000002E-3</v>
      </c>
    </row>
    <row r="15" spans="1:21" x14ac:dyDescent="0.25">
      <c r="A15" s="50" t="s">
        <v>47</v>
      </c>
      <c r="B15" s="50" t="s">
        <v>146</v>
      </c>
      <c r="C15" t="s">
        <v>166</v>
      </c>
      <c r="D15" t="s">
        <v>167</v>
      </c>
      <c r="E15" s="6">
        <f>ROUND('Components UNIV HS &amp; FGP'!B15/'Components UNIV HS &amp; FGP'!$B$24,3)</f>
        <v>8.0000000000000002E-3</v>
      </c>
      <c r="F15" s="6">
        <f>ROUND('Components UNIV HS &amp; FGP'!C15/'Components UNIV HS &amp; FGP'!$C$24,3)</f>
        <v>6.0000000000000001E-3</v>
      </c>
      <c r="G15" s="6">
        <f>ROUND('Components UNIV HS &amp; FGP'!D15/'Components UNIV HS &amp; FGP'!$D$24,3)</f>
        <v>0</v>
      </c>
      <c r="H15" s="6">
        <f>ROUND('Components UNIV HS &amp; FGP'!E15/'Components UNIV HS &amp; FGP'!$E$24,3)</f>
        <v>0</v>
      </c>
      <c r="I15" s="6">
        <f>ROUND('Components UNIV HS &amp; FGP'!F15/'Components UNIV HS &amp; FGP'!$F$24,3)</f>
        <v>0</v>
      </c>
      <c r="K15" s="6">
        <f>ROUND('Components UNIV HS &amp; FGP'!H15/'Components UNIV HS &amp; FGP'!H$24,3)</f>
        <v>6.0000000000000001E-3</v>
      </c>
      <c r="L15" s="6">
        <f>ROUND('Components UNIV HS &amp; FGP'!I15/'Components UNIV HS &amp; FGP'!I$24,3)</f>
        <v>6.0000000000000001E-3</v>
      </c>
      <c r="M15" s="6">
        <f>ROUND('Components UNIV HS &amp; FGP'!J15/'Components UNIV HS &amp; FGP'!J$24,3)</f>
        <v>0</v>
      </c>
      <c r="N15" s="6">
        <f>ROUND('Components UNIV HS &amp; FGP'!K15/'Components UNIV HS &amp; FGP'!K$24,3)</f>
        <v>0</v>
      </c>
      <c r="O15" s="6">
        <f>ROUND('Components UNIV HS &amp; FGP'!L15/'Components UNIV HS &amp; FGP'!L$24,3)</f>
        <v>0</v>
      </c>
      <c r="Q15" s="39" t="s">
        <v>113</v>
      </c>
      <c r="R15" s="6">
        <f>ROUND('Components UNIV HS &amp; FGP'!O15/'Components UNIV HS &amp; FGP'!O$24,3)</f>
        <v>1.4E-2</v>
      </c>
      <c r="S15" s="6">
        <f>ROUND('Components UNIV HS &amp; FGP'!P15/'Components UNIV HS &amp; FGP'!P$24,3)</f>
        <v>0.01</v>
      </c>
      <c r="T15" s="6">
        <f>ROUND('Components UNIV HS &amp; FGP'!Q15/'Components UNIV HS &amp; FGP'!Q$24,3)</f>
        <v>1.0999999999999999E-2</v>
      </c>
      <c r="U15" s="6">
        <f>ROUND('Components UNIV HS &amp; FGP'!R15/'Components UNIV HS &amp; FGP'!R$24,3)</f>
        <v>8.0000000000000002E-3</v>
      </c>
    </row>
    <row r="16" spans="1:21" x14ac:dyDescent="0.25">
      <c r="A16" s="50" t="s">
        <v>48</v>
      </c>
      <c r="B16" s="50" t="s">
        <v>147</v>
      </c>
      <c r="C16" t="s">
        <v>166</v>
      </c>
      <c r="D16" t="s">
        <v>167</v>
      </c>
      <c r="E16" s="6">
        <f>ROUND('Components UNIV HS &amp; FGP'!B16/'Components UNIV HS &amp; FGP'!$B$24,3)</f>
        <v>1.2E-2</v>
      </c>
      <c r="F16" s="6">
        <f>ROUND('Components UNIV HS &amp; FGP'!C16/'Components UNIV HS &amp; FGP'!$C$24,3)</f>
        <v>8.9999999999999993E-3</v>
      </c>
      <c r="G16" s="6">
        <f>ROUND('Components UNIV HS &amp; FGP'!D16/'Components UNIV HS &amp; FGP'!$D$24,3)</f>
        <v>0</v>
      </c>
      <c r="H16" s="6">
        <f>ROUND('Components UNIV HS &amp; FGP'!E16/'Components UNIV HS &amp; FGP'!$E$24,3)</f>
        <v>0</v>
      </c>
      <c r="I16" s="6">
        <f>ROUND('Components UNIV HS &amp; FGP'!F16/'Components UNIV HS &amp; FGP'!$F$24,3)</f>
        <v>0</v>
      </c>
      <c r="K16" s="6">
        <f>ROUND('Components UNIV HS &amp; FGP'!H16/'Components UNIV HS &amp; FGP'!H$24,3)</f>
        <v>8.9999999999999993E-3</v>
      </c>
      <c r="L16" s="6">
        <f>ROUND('Components UNIV HS &amp; FGP'!I16/'Components UNIV HS &amp; FGP'!I$24,3)</f>
        <v>8.9999999999999993E-3</v>
      </c>
      <c r="M16" s="6">
        <f>ROUND('Components UNIV HS &amp; FGP'!J16/'Components UNIV HS &amp; FGP'!J$24,3)</f>
        <v>0</v>
      </c>
      <c r="N16" s="6">
        <f>ROUND('Components UNIV HS &amp; FGP'!K16/'Components UNIV HS &amp; FGP'!K$24,3)</f>
        <v>0</v>
      </c>
      <c r="O16" s="6">
        <f>ROUND('Components UNIV HS &amp; FGP'!L16/'Components UNIV HS &amp; FGP'!L$24,3)</f>
        <v>0</v>
      </c>
      <c r="Q16" s="39" t="s">
        <v>114</v>
      </c>
      <c r="R16" s="6">
        <f>ROUND('Components UNIV HS &amp; FGP'!O16/'Components UNIV HS &amp; FGP'!O$24,3)</f>
        <v>2.1000000000000001E-2</v>
      </c>
      <c r="S16" s="6">
        <f>ROUND('Components UNIV HS &amp; FGP'!P16/'Components UNIV HS &amp; FGP'!P$24,3)</f>
        <v>1.4999999999999999E-2</v>
      </c>
      <c r="T16" s="6">
        <f>ROUND('Components UNIV HS &amp; FGP'!Q16/'Components UNIV HS &amp; FGP'!Q$24,3)</f>
        <v>1.6E-2</v>
      </c>
      <c r="U16" s="6">
        <f>ROUND('Components UNIV HS &amp; FGP'!R16/'Components UNIV HS &amp; FGP'!R$24,3)</f>
        <v>1.2999999999999999E-2</v>
      </c>
    </row>
    <row r="17" spans="1:21" x14ac:dyDescent="0.25">
      <c r="A17" s="50" t="s">
        <v>49</v>
      </c>
      <c r="B17" s="51" t="s">
        <v>148</v>
      </c>
      <c r="C17" t="s">
        <v>166</v>
      </c>
      <c r="D17" t="s">
        <v>167</v>
      </c>
      <c r="E17" s="6">
        <f>ROUND('Components UNIV HS &amp; FGP'!B17/'Components UNIV HS &amp; FGP'!$B$24,3)</f>
        <v>4.0000000000000001E-3</v>
      </c>
      <c r="F17" s="6">
        <f>ROUND('Components UNIV HS &amp; FGP'!C17/'Components UNIV HS &amp; FGP'!$C$24,3)</f>
        <v>3.0000000000000001E-3</v>
      </c>
      <c r="G17" s="6">
        <f>ROUND('Components UNIV HS &amp; FGP'!D17/'Components UNIV HS &amp; FGP'!$D$24,3)</f>
        <v>0</v>
      </c>
      <c r="H17" s="6">
        <f>ROUND('Components UNIV HS &amp; FGP'!E17/'Components UNIV HS &amp; FGP'!$E$24,3)</f>
        <v>0</v>
      </c>
      <c r="I17" s="6">
        <f>ROUND('Components UNIV HS &amp; FGP'!F17/'Components UNIV HS &amp; FGP'!$F$24,3)</f>
        <v>0</v>
      </c>
      <c r="K17" s="6">
        <f>ROUND('Components UNIV HS &amp; FGP'!H17/'Components UNIV HS &amp; FGP'!H$24,3)</f>
        <v>3.0000000000000001E-3</v>
      </c>
      <c r="L17" s="6">
        <f>ROUND('Components UNIV HS &amp; FGP'!I17/'Components UNIV HS &amp; FGP'!I$24,3)</f>
        <v>3.0000000000000001E-3</v>
      </c>
      <c r="M17" s="6">
        <f>ROUND('Components UNIV HS &amp; FGP'!J17/'Components UNIV HS &amp; FGP'!J$24,3)</f>
        <v>0</v>
      </c>
      <c r="N17" s="6">
        <f>ROUND('Components UNIV HS &amp; FGP'!K17/'Components UNIV HS &amp; FGP'!K$24,3)</f>
        <v>0</v>
      </c>
      <c r="O17" s="6">
        <f>ROUND('Components UNIV HS &amp; FGP'!L17/'Components UNIV HS &amp; FGP'!L$24,3)</f>
        <v>0</v>
      </c>
      <c r="Q17" s="39" t="s">
        <v>115</v>
      </c>
      <c r="R17" s="6">
        <f>ROUND('Components UNIV HS &amp; FGP'!O17/'Components UNIV HS &amp; FGP'!O$24,3)</f>
        <v>7.0000000000000001E-3</v>
      </c>
      <c r="S17" s="6">
        <f>ROUND('Components UNIV HS &amp; FGP'!P17/'Components UNIV HS &amp; FGP'!P$24,3)</f>
        <v>5.0000000000000001E-3</v>
      </c>
      <c r="T17" s="6">
        <f>ROUND('Components UNIV HS &amp; FGP'!Q17/'Components UNIV HS &amp; FGP'!Q$24,3)</f>
        <v>5.0000000000000001E-3</v>
      </c>
      <c r="U17" s="6">
        <f>ROUND('Components UNIV HS &amp; FGP'!R17/'Components UNIV HS &amp; FGP'!R$24,3)</f>
        <v>4.0000000000000001E-3</v>
      </c>
    </row>
    <row r="18" spans="1:21" x14ac:dyDescent="0.25">
      <c r="A18" s="50" t="s">
        <v>136</v>
      </c>
      <c r="B18" s="51" t="s">
        <v>149</v>
      </c>
      <c r="C18" t="s">
        <v>166</v>
      </c>
      <c r="D18" t="s">
        <v>167</v>
      </c>
      <c r="E18" s="6">
        <f>ROUND('Components UNIV HS &amp; FGP'!B18/'Components UNIV HS &amp; FGP'!$B$24,3)</f>
        <v>8.0000000000000002E-3</v>
      </c>
      <c r="F18" s="6">
        <f>ROUND('Components UNIV HS &amp; FGP'!C18/'Components UNIV HS &amp; FGP'!$C$24,3)</f>
        <v>6.0000000000000001E-3</v>
      </c>
      <c r="G18" s="6">
        <f>ROUND('Components UNIV HS &amp; FGP'!D18/'Components UNIV HS &amp; FGP'!$D$24,3)</f>
        <v>1.2999999999999999E-2</v>
      </c>
      <c r="H18" s="6">
        <f>ROUND('Components UNIV HS &amp; FGP'!E18/'Components UNIV HS &amp; FGP'!$E$24,3)</f>
        <v>0.5</v>
      </c>
      <c r="I18" s="6">
        <f>ROUND('Components UNIV HS &amp; FGP'!F18/'Components UNIV HS &amp; FGP'!$F$24,3)</f>
        <v>8.9999999999999993E-3</v>
      </c>
      <c r="K18" s="6">
        <f>ROUND('Components UNIV HS &amp; FGP'!H18/'Components UNIV HS &amp; FGP'!H$24,3)</f>
        <v>1.4E-2</v>
      </c>
      <c r="L18" s="6">
        <f>ROUND('Components UNIV HS &amp; FGP'!I18/'Components UNIV HS &amp; FGP'!I$24,3)</f>
        <v>1.4999999999999999E-2</v>
      </c>
      <c r="M18" s="6">
        <f>ROUND('Components UNIV HS &amp; FGP'!J18/'Components UNIV HS &amp; FGP'!J$24,3)</f>
        <v>3.1E-2</v>
      </c>
      <c r="N18" s="6">
        <f>ROUND('Components UNIV HS &amp; FGP'!K18/'Components UNIV HS &amp; FGP'!K$24,3)</f>
        <v>0.71399999999999997</v>
      </c>
      <c r="O18" s="6">
        <f>ROUND('Components UNIV HS &amp; FGP'!L18/'Components UNIV HS &amp; FGP'!L$24,3)</f>
        <v>4.2999999999999997E-2</v>
      </c>
      <c r="Q18" s="39" t="s">
        <v>116</v>
      </c>
      <c r="R18" s="6">
        <f>ROUND('Components UNIV HS &amp; FGP'!O18/'Components UNIV HS &amp; FGP'!O$24,3)</f>
        <v>1.4E-2</v>
      </c>
      <c r="S18" s="6">
        <f>ROUND('Components UNIV HS &amp; FGP'!P18/'Components UNIV HS &amp; FGP'!P$24,3)</f>
        <v>0.01</v>
      </c>
      <c r="T18" s="6">
        <f>ROUND('Components UNIV HS &amp; FGP'!Q18/'Components UNIV HS &amp; FGP'!Q$24,3)</f>
        <v>1.0999999999999999E-2</v>
      </c>
      <c r="U18" s="6">
        <f>ROUND('Components UNIV HS &amp; FGP'!R18/'Components UNIV HS &amp; FGP'!R$24,3)</f>
        <v>8.0000000000000002E-3</v>
      </c>
    </row>
    <row r="19" spans="1:21" x14ac:dyDescent="0.25">
      <c r="A19" s="50" t="s">
        <v>58</v>
      </c>
      <c r="B19" s="51" t="s">
        <v>150</v>
      </c>
      <c r="C19" t="s">
        <v>166</v>
      </c>
      <c r="D19" t="s">
        <v>167</v>
      </c>
      <c r="E19" s="6">
        <f>ROUND('Components UNIV HS &amp; FGP'!B19/'Components UNIV HS &amp; FGP'!$B$24,3)</f>
        <v>4.0000000000000001E-3</v>
      </c>
      <c r="F19" s="6">
        <f>ROUND('Components UNIV HS &amp; FGP'!C19/'Components UNIV HS &amp; FGP'!$C$24,3)</f>
        <v>3.0000000000000001E-3</v>
      </c>
      <c r="G19" s="6">
        <f>ROUND('Components UNIV HS &amp; FGP'!D19/'Components UNIV HS &amp; FGP'!$D$24,3)</f>
        <v>0</v>
      </c>
      <c r="H19" s="6">
        <f>ROUND('Components UNIV HS &amp; FGP'!E19/'Components UNIV HS &amp; FGP'!$E$24,3)</f>
        <v>0</v>
      </c>
      <c r="I19" s="6">
        <f>ROUND('Components UNIV HS &amp; FGP'!F19/'Components UNIV HS &amp; FGP'!$F$24,3)</f>
        <v>0</v>
      </c>
      <c r="K19" s="6">
        <f>ROUND('Components UNIV HS &amp; FGP'!H19/'Components UNIV HS &amp; FGP'!H$24,3)</f>
        <v>3.0000000000000001E-3</v>
      </c>
      <c r="L19" s="6">
        <f>ROUND('Components UNIV HS &amp; FGP'!I19/'Components UNIV HS &amp; FGP'!I$24,3)</f>
        <v>3.0000000000000001E-3</v>
      </c>
      <c r="M19" s="6">
        <f>ROUND('Components UNIV HS &amp; FGP'!J19/'Components UNIV HS &amp; FGP'!J$24,3)</f>
        <v>0</v>
      </c>
      <c r="N19" s="6">
        <f>ROUND('Components UNIV HS &amp; FGP'!K19/'Components UNIV HS &amp; FGP'!K$24,3)</f>
        <v>0</v>
      </c>
      <c r="O19" s="6">
        <f>ROUND('Components UNIV HS &amp; FGP'!L19/'Components UNIV HS &amp; FGP'!L$24,3)</f>
        <v>0</v>
      </c>
      <c r="Q19" s="39" t="s">
        <v>117</v>
      </c>
      <c r="R19" s="6">
        <f>ROUND('Components UNIV HS &amp; FGP'!O19/'Components UNIV HS &amp; FGP'!O$24,3)</f>
        <v>7.0000000000000001E-3</v>
      </c>
      <c r="S19" s="6">
        <f>ROUND('Components UNIV HS &amp; FGP'!P19/'Components UNIV HS &amp; FGP'!P$24,3)</f>
        <v>5.0000000000000001E-3</v>
      </c>
      <c r="T19" s="6">
        <f>ROUND('Components UNIV HS &amp; FGP'!Q19/'Components UNIV HS &amp; FGP'!Q$24,3)</f>
        <v>5.0000000000000001E-3</v>
      </c>
      <c r="U19" s="6">
        <f>ROUND('Components UNIV HS &amp; FGP'!R19/'Components UNIV HS &amp; FGP'!R$24,3)</f>
        <v>4.0000000000000001E-3</v>
      </c>
    </row>
    <row r="20" spans="1:21" x14ac:dyDescent="0.25">
      <c r="A20" s="50" t="s">
        <v>59</v>
      </c>
      <c r="B20" s="51" t="s">
        <v>151</v>
      </c>
      <c r="C20" t="s">
        <v>166</v>
      </c>
      <c r="D20" t="s">
        <v>167</v>
      </c>
      <c r="E20" s="6">
        <f>ROUND('Components UNIV HS &amp; FGP'!B20/'Components UNIV HS &amp; FGP'!$B$24,3)</f>
        <v>1.2E-2</v>
      </c>
      <c r="F20" s="6">
        <f>ROUND('Components UNIV HS &amp; FGP'!C20/'Components UNIV HS &amp; FGP'!$C$24,3)</f>
        <v>1.7000000000000001E-2</v>
      </c>
      <c r="G20" s="6">
        <f>ROUND('Components UNIV HS &amp; FGP'!D20/'Components UNIV HS &amp; FGP'!$D$24,3)</f>
        <v>0</v>
      </c>
      <c r="H20" s="6">
        <f>ROUND('Components UNIV HS &amp; FGP'!E20/'Components UNIV HS &amp; FGP'!$E$24,3)</f>
        <v>0</v>
      </c>
      <c r="I20" s="6">
        <f>ROUND('Components UNIV HS &amp; FGP'!F20/'Components UNIV HS &amp; FGP'!$F$24,3)</f>
        <v>0</v>
      </c>
      <c r="K20" s="6">
        <f>ROUND('Components UNIV HS &amp; FGP'!H20/'Components UNIV HS &amp; FGP'!H$24,3)</f>
        <v>1.7000000000000001E-2</v>
      </c>
      <c r="L20" s="6">
        <f>ROUND('Components UNIV HS &amp; FGP'!I20/'Components UNIV HS &amp; FGP'!I$24,3)</f>
        <v>1.7999999999999999E-2</v>
      </c>
      <c r="M20" s="6">
        <f>ROUND('Components UNIV HS &amp; FGP'!J20/'Components UNIV HS &amp; FGP'!J$24,3)</f>
        <v>0</v>
      </c>
      <c r="N20" s="6">
        <f>ROUND('Components UNIV HS &amp; FGP'!K20/'Components UNIV HS &amp; FGP'!K$24,3)</f>
        <v>0</v>
      </c>
      <c r="O20" s="6">
        <f>ROUND('Components UNIV HS &amp; FGP'!L20/'Components UNIV HS &amp; FGP'!L$24,3)</f>
        <v>0</v>
      </c>
      <c r="Q20" s="39" t="s">
        <v>118</v>
      </c>
      <c r="R20" s="6">
        <f>ROUND('Components UNIV HS &amp; FGP'!O20/'Components UNIV HS &amp; FGP'!O$24,3)</f>
        <v>7.0000000000000001E-3</v>
      </c>
      <c r="S20" s="6">
        <f>ROUND('Components UNIV HS &amp; FGP'!P20/'Components UNIV HS &amp; FGP'!P$24,3)</f>
        <v>5.0000000000000001E-3</v>
      </c>
      <c r="T20" s="6">
        <f>ROUND('Components UNIV HS &amp; FGP'!Q20/'Components UNIV HS &amp; FGP'!Q$24,3)</f>
        <v>5.0000000000000001E-3</v>
      </c>
      <c r="U20" s="6">
        <f>ROUND('Components UNIV HS &amp; FGP'!R20/'Components UNIV HS &amp; FGP'!R$24,3)</f>
        <v>4.0000000000000001E-3</v>
      </c>
    </row>
    <row r="21" spans="1:21" x14ac:dyDescent="0.25">
      <c r="A21" s="50" t="s">
        <v>54</v>
      </c>
      <c r="B21" s="51" t="s">
        <v>152</v>
      </c>
      <c r="C21" t="s">
        <v>166</v>
      </c>
      <c r="D21" t="s">
        <v>167</v>
      </c>
      <c r="E21" s="6">
        <f>ROUND('Components UNIV HS &amp; FGP'!B21/'Components UNIV HS &amp; FGP'!$B$24,3)</f>
        <v>0</v>
      </c>
      <c r="F21" s="6">
        <f>ROUND('Components UNIV HS &amp; FGP'!C21/'Components UNIV HS &amp; FGP'!$C$24,3)</f>
        <v>0</v>
      </c>
      <c r="G21" s="6">
        <f>ROUND('Components UNIV HS &amp; FGP'!D21/'Components UNIV HS &amp; FGP'!$D$24,3)</f>
        <v>0</v>
      </c>
      <c r="H21" s="6">
        <f>ROUND('Components UNIV HS &amp; FGP'!E21/'Components UNIV HS &amp; FGP'!$E$24,3)</f>
        <v>0</v>
      </c>
      <c r="I21" s="6">
        <f>ROUND('Components UNIV HS &amp; FGP'!F21/'Components UNIV HS &amp; FGP'!$F$24,3)</f>
        <v>0.98199999999999998</v>
      </c>
      <c r="K21" s="6">
        <f>ROUND('Components UNIV HS &amp; FGP'!H21/'Components UNIV HS &amp; FGP'!H$24,3)</f>
        <v>0</v>
      </c>
      <c r="L21" s="6">
        <f>ROUND('Components UNIV HS &amp; FGP'!I21/'Components UNIV HS &amp; FGP'!I$24,3)</f>
        <v>0</v>
      </c>
      <c r="M21" s="6">
        <f>ROUND('Components UNIV HS &amp; FGP'!J21/'Components UNIV HS &amp; FGP'!J$24,3)</f>
        <v>0</v>
      </c>
      <c r="N21" s="6">
        <f>ROUND('Components UNIV HS &amp; FGP'!K21/'Components UNIV HS &amp; FGP'!K$24,3)</f>
        <v>0</v>
      </c>
      <c r="O21" s="6">
        <f>ROUND('Components UNIV HS &amp; FGP'!L21/'Components UNIV HS &amp; FGP'!L$24,3)</f>
        <v>0.94</v>
      </c>
      <c r="Q21" s="39" t="s">
        <v>119</v>
      </c>
      <c r="R21" s="6">
        <f>ROUND('Components UNIV HS &amp; FGP'!O21/'Components UNIV HS &amp; FGP'!O$24,3)</f>
        <v>0</v>
      </c>
      <c r="S21" s="6">
        <f>ROUND('Components UNIV HS &amp; FGP'!P21/'Components UNIV HS &amp; FGP'!P$24,3)</f>
        <v>0</v>
      </c>
      <c r="T21" s="6">
        <f>ROUND('Components UNIV HS &amp; FGP'!Q21/'Components UNIV HS &amp; FGP'!Q$24,3)</f>
        <v>0</v>
      </c>
      <c r="U21" s="6">
        <f>ROUND('Components UNIV HS &amp; FGP'!R21/'Components UNIV HS &amp; FGP'!R$24,3)</f>
        <v>0</v>
      </c>
    </row>
    <row r="22" spans="1:21" x14ac:dyDescent="0.25">
      <c r="A22" s="50" t="s">
        <v>60</v>
      </c>
      <c r="B22" s="51" t="s">
        <v>153</v>
      </c>
      <c r="C22" t="s">
        <v>166</v>
      </c>
      <c r="D22" t="s">
        <v>167</v>
      </c>
      <c r="E22" s="6">
        <f>ROUND('Components UNIV HS &amp; FGP'!B22/'Components UNIV HS &amp; FGP'!$B$24,3)</f>
        <v>3.1E-2</v>
      </c>
      <c r="F22" s="6">
        <f>ROUND('Components UNIV HS &amp; FGP'!C22/'Components UNIV HS &amp; FGP'!$C$24,3)</f>
        <v>4.3999999999999997E-2</v>
      </c>
      <c r="G22" s="6">
        <f>ROUND('Components UNIV HS &amp; FGP'!D22/'Components UNIV HS &amp; FGP'!$D$24,3)</f>
        <v>0</v>
      </c>
      <c r="H22" s="6">
        <f>ROUND('Components UNIV HS &amp; FGP'!E22/'Components UNIV HS &amp; FGP'!$E$24,3)</f>
        <v>0</v>
      </c>
      <c r="I22" s="6">
        <f>ROUND('Components UNIV HS &amp; FGP'!F22/'Components UNIV HS &amp; FGP'!$F$24,3)</f>
        <v>0</v>
      </c>
      <c r="K22" s="6">
        <f>ROUND('Components UNIV HS &amp; FGP'!H22/'Components UNIV HS &amp; FGP'!H$24,3)</f>
        <v>4.2999999999999997E-2</v>
      </c>
      <c r="L22" s="6">
        <f>ROUND('Components UNIV HS &amp; FGP'!I22/'Components UNIV HS &amp; FGP'!I$24,3)</f>
        <v>4.2000000000000003E-2</v>
      </c>
      <c r="M22" s="6">
        <f>ROUND('Components UNIV HS &amp; FGP'!J22/'Components UNIV HS &amp; FGP'!J$24,3)</f>
        <v>0</v>
      </c>
      <c r="N22" s="6">
        <f>ROUND('Components UNIV HS &amp; FGP'!K22/'Components UNIV HS &amp; FGP'!K$24,3)</f>
        <v>0</v>
      </c>
      <c r="O22" s="6">
        <f>ROUND('Components UNIV HS &amp; FGP'!L22/'Components UNIV HS &amp; FGP'!L$24,3)</f>
        <v>0</v>
      </c>
      <c r="Q22" s="39" t="s">
        <v>120</v>
      </c>
      <c r="R22" s="6">
        <f>ROUND('Components UNIV HS &amp; FGP'!O22/'Components UNIV HS &amp; FGP'!O$24,3)</f>
        <v>1.4E-2</v>
      </c>
      <c r="S22" s="6">
        <f>ROUND('Components UNIV HS &amp; FGP'!P22/'Components UNIV HS &amp; FGP'!P$24,3)</f>
        <v>0.01</v>
      </c>
      <c r="T22" s="6">
        <f>ROUND('Components UNIV HS &amp; FGP'!Q22/'Components UNIV HS &amp; FGP'!Q$24,3)</f>
        <v>1.0999999999999999E-2</v>
      </c>
      <c r="U22" s="6">
        <f>ROUND('Components UNIV HS &amp; FGP'!R22/'Components UNIV HS &amp; FGP'!R$24,3)</f>
        <v>8.0000000000000002E-3</v>
      </c>
    </row>
    <row r="23" spans="1:21" x14ac:dyDescent="0.25">
      <c r="A23" s="50" t="s">
        <v>121</v>
      </c>
      <c r="B23" s="51" t="s">
        <v>157</v>
      </c>
      <c r="C23" t="s">
        <v>166</v>
      </c>
      <c r="D23" t="s">
        <v>167</v>
      </c>
      <c r="E23" s="6">
        <f>ROUND('Components UNIV HS &amp; FGP'!B23/'Components UNIV HS &amp; FGP'!$B$24,3)</f>
        <v>1.2E-2</v>
      </c>
      <c r="F23" s="6">
        <f>ROUND('Components UNIV HS &amp; FGP'!C23/'Components UNIV HS &amp; FGP'!$C$24,3)</f>
        <v>1.7000000000000001E-2</v>
      </c>
      <c r="G23" s="6">
        <f>ROUND('Components UNIV HS &amp; FGP'!D23/'Components UNIV HS &amp; FGP'!$D$24,3)</f>
        <v>0</v>
      </c>
      <c r="H23" s="6">
        <f>ROUND('Components UNIV HS &amp; FGP'!E23/'Components UNIV HS &amp; FGP'!$E$24,3)</f>
        <v>0</v>
      </c>
      <c r="I23" s="6">
        <f>ROUND('Components UNIV HS &amp; FGP'!F23/'Components UNIV HS &amp; FGP'!$F$24,3)</f>
        <v>0</v>
      </c>
      <c r="K23" s="6">
        <f>ROUND('Components UNIV HS &amp; FGP'!H23/'Components UNIV HS &amp; FGP'!H$24,3)</f>
        <v>1.4E-2</v>
      </c>
      <c r="L23" s="6">
        <f>ROUND('Components UNIV HS &amp; FGP'!I23/'Components UNIV HS &amp; FGP'!I$24,3)</f>
        <v>1.4999999999999999E-2</v>
      </c>
      <c r="M23" s="6">
        <f>ROUND('Components UNIV HS &amp; FGP'!J23/'Components UNIV HS &amp; FGP'!J$24,3)</f>
        <v>0</v>
      </c>
      <c r="N23" s="6">
        <f>ROUND('Components UNIV HS &amp; FGP'!K23/'Components UNIV HS &amp; FGP'!K$24,3)</f>
        <v>0</v>
      </c>
      <c r="O23" s="6">
        <f>ROUND('Components UNIV HS &amp; FGP'!L23/'Components UNIV HS &amp; FGP'!L$24,3)</f>
        <v>0</v>
      </c>
      <c r="Q23" s="39" t="s">
        <v>121</v>
      </c>
      <c r="R23" s="6">
        <f>ROUND('Components UNIV HS &amp; FGP'!O23/'Components UNIV HS &amp; FGP'!O$24,3)</f>
        <v>7.0000000000000001E-3</v>
      </c>
      <c r="S23" s="6">
        <f>ROUND('Components UNIV HS &amp; FGP'!P23/'Components UNIV HS &amp; FGP'!P$24,3)</f>
        <v>5.0000000000000001E-3</v>
      </c>
      <c r="T23" s="6">
        <f>ROUND('Components UNIV HS &amp; FGP'!Q23/'Components UNIV HS &amp; FGP'!Q$24,3)</f>
        <v>5.0000000000000001E-3</v>
      </c>
      <c r="U23" s="6">
        <f>ROUND('Components UNIV HS &amp; FGP'!R23/'Components UNIV HS &amp; FGP'!R$24,3)</f>
        <v>4.0000000000000001E-3</v>
      </c>
    </row>
    <row r="24" spans="1:21" x14ac:dyDescent="0.25">
      <c r="A24" s="59" t="s">
        <v>155</v>
      </c>
      <c r="B24" s="57"/>
      <c r="C24" s="57"/>
      <c r="D24" s="57"/>
      <c r="E24" s="60">
        <f>SUM(E5:E11,E14:E23)</f>
        <v>1.0000000000000002</v>
      </c>
      <c r="F24" s="60">
        <f>SUM(F5:F11,F14:F23)</f>
        <v>1</v>
      </c>
      <c r="G24" s="60">
        <f>SUM(G5:G11,G14:G23)</f>
        <v>1</v>
      </c>
      <c r="H24" s="60">
        <f>SUM(H5:H11,H14:H23)</f>
        <v>1</v>
      </c>
      <c r="I24" s="60">
        <f>SUM(I5:I11,I14:I23)</f>
        <v>1</v>
      </c>
      <c r="K24" s="60">
        <f>SUM(K5:K11,K14:K23)</f>
        <v>1</v>
      </c>
      <c r="L24" s="60">
        <f t="shared" ref="L24:O24" si="3">SUM(L5:L11,L14:L23)</f>
        <v>1</v>
      </c>
      <c r="M24" s="60">
        <f t="shared" si="3"/>
        <v>1</v>
      </c>
      <c r="N24" s="60">
        <f t="shared" si="3"/>
        <v>1</v>
      </c>
      <c r="O24" s="60">
        <f t="shared" si="3"/>
        <v>1</v>
      </c>
      <c r="R24" s="60">
        <f t="shared" ref="R24:U24" si="4">SUM(R5:R11,R14:R23)</f>
        <v>1</v>
      </c>
      <c r="S24" s="60">
        <f t="shared" si="4"/>
        <v>1</v>
      </c>
      <c r="T24" s="60">
        <f t="shared" si="4"/>
        <v>1</v>
      </c>
      <c r="U24" s="60">
        <f t="shared" si="4"/>
        <v>1.0000000000000002</v>
      </c>
    </row>
    <row r="25" spans="1:21" x14ac:dyDescent="0.25">
      <c r="A25" s="58"/>
      <c r="B25" s="58"/>
      <c r="C25" s="58"/>
      <c r="D25" s="58"/>
      <c r="E25" s="6"/>
      <c r="F25" s="6"/>
      <c r="G25" s="6"/>
      <c r="H25" s="6"/>
      <c r="I25" s="6"/>
      <c r="K25" s="6"/>
      <c r="L25" s="6"/>
      <c r="M25" s="6"/>
      <c r="N25" s="6"/>
      <c r="O25" s="6"/>
      <c r="R25" s="6"/>
      <c r="S25" s="6"/>
      <c r="T25" s="6"/>
      <c r="U25" s="6"/>
    </row>
    <row r="26" spans="1:21" x14ac:dyDescent="0.25">
      <c r="A26" s="59" t="s">
        <v>156</v>
      </c>
      <c r="B26" s="57"/>
      <c r="C26" s="57"/>
      <c r="D26" s="57"/>
      <c r="E26" s="6">
        <v>1</v>
      </c>
      <c r="F26" s="6">
        <v>1</v>
      </c>
      <c r="G26" s="6">
        <v>1</v>
      </c>
      <c r="H26" s="6">
        <v>1</v>
      </c>
      <c r="I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R26" s="6">
        <v>1</v>
      </c>
      <c r="S26" s="6">
        <v>1</v>
      </c>
      <c r="T26" s="6">
        <v>1</v>
      </c>
      <c r="U26" s="6">
        <v>1</v>
      </c>
    </row>
    <row r="28" spans="1:21" x14ac:dyDescent="0.25">
      <c r="E28" s="45">
        <f>E26-E24</f>
        <v>0</v>
      </c>
      <c r="F28" s="45">
        <f t="shared" ref="F28:O28" si="5">F26-F24</f>
        <v>0</v>
      </c>
      <c r="G28" s="45">
        <f t="shared" si="5"/>
        <v>0</v>
      </c>
      <c r="H28" s="45">
        <f t="shared" si="5"/>
        <v>0</v>
      </c>
      <c r="I28" s="45">
        <f t="shared" si="5"/>
        <v>0</v>
      </c>
      <c r="J28" s="45"/>
      <c r="K28" s="45">
        <f t="shared" si="5"/>
        <v>0</v>
      </c>
      <c r="L28" s="45">
        <f t="shared" si="5"/>
        <v>0</v>
      </c>
      <c r="M28" s="45">
        <f t="shared" si="5"/>
        <v>0</v>
      </c>
      <c r="N28" s="45">
        <f t="shared" si="5"/>
        <v>0</v>
      </c>
      <c r="O28" s="45">
        <f t="shared" si="5"/>
        <v>0</v>
      </c>
      <c r="R28" s="45">
        <f t="shared" ref="R28:U28" si="6">R26-R24</f>
        <v>0</v>
      </c>
      <c r="S28" s="45">
        <f t="shared" si="6"/>
        <v>0</v>
      </c>
      <c r="T28" s="45">
        <f t="shared" si="6"/>
        <v>0</v>
      </c>
      <c r="U28" s="45">
        <f t="shared" si="6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C1743-0BE9-46A4-A7FB-3DF9D4601020}">
  <dimension ref="A2:K29"/>
  <sheetViews>
    <sheetView workbookViewId="0">
      <selection activeCell="H11" sqref="H11"/>
    </sheetView>
  </sheetViews>
  <sheetFormatPr defaultRowHeight="13.2" x14ac:dyDescent="0.25"/>
  <cols>
    <col min="1" max="1" width="23.109375" bestFit="1" customWidth="1"/>
    <col min="2" max="5" width="10.6640625" customWidth="1"/>
    <col min="6" max="6" width="3.5546875" customWidth="1"/>
    <col min="7" max="11" width="10.6640625" customWidth="1"/>
  </cols>
  <sheetData>
    <row r="2" spans="1:11" x14ac:dyDescent="0.25">
      <c r="B2" s="44" t="s">
        <v>99</v>
      </c>
      <c r="C2" s="43"/>
      <c r="D2" s="43"/>
      <c r="E2" s="43"/>
      <c r="G2" s="44"/>
      <c r="H2" s="43"/>
      <c r="I2" s="43"/>
      <c r="J2" s="43"/>
      <c r="K2" s="43"/>
    </row>
    <row r="3" spans="1:11" x14ac:dyDescent="0.25">
      <c r="B3" s="2" t="s">
        <v>9</v>
      </c>
      <c r="C3" s="2" t="s">
        <v>124</v>
      </c>
      <c r="D3" s="2" t="s">
        <v>12</v>
      </c>
      <c r="E3" s="2" t="s">
        <v>129</v>
      </c>
      <c r="G3" s="2" t="s">
        <v>99</v>
      </c>
      <c r="H3" s="2"/>
      <c r="I3" s="2"/>
      <c r="J3" s="2"/>
      <c r="K3" s="2"/>
    </row>
    <row r="4" spans="1:11" x14ac:dyDescent="0.25">
      <c r="B4" s="2" t="s">
        <v>18</v>
      </c>
      <c r="C4" s="2" t="s">
        <v>97</v>
      </c>
      <c r="D4" s="2" t="s">
        <v>24</v>
      </c>
      <c r="E4" s="2" t="s">
        <v>26</v>
      </c>
      <c r="G4" s="2" t="s">
        <v>100</v>
      </c>
      <c r="H4" s="2"/>
      <c r="I4" s="2"/>
      <c r="J4" s="2"/>
      <c r="K4" s="2"/>
    </row>
    <row r="5" spans="1:11" x14ac:dyDescent="0.25">
      <c r="A5" s="38" t="s">
        <v>42</v>
      </c>
      <c r="B5" s="6">
        <f>ROUND((fy22_summary_bnft_projection!D55/fy22_summary_bnft_projection!$D$74),3)</f>
        <v>0.14099999999999999</v>
      </c>
      <c r="C5" s="6">
        <v>0</v>
      </c>
      <c r="D5" s="6">
        <f>ROUND((fy22_summary_bnft_projection!G55/fy22_summary_bnft_projection!$G$74),3)</f>
        <v>0.14099999999999999</v>
      </c>
      <c r="E5" s="6">
        <f>ROUND((fy22_summary_bnft_projection!I55/fy22_summary_bnft_projection!$I$74),3)</f>
        <v>0</v>
      </c>
      <c r="G5" s="6">
        <f>D5</f>
        <v>0.14099999999999999</v>
      </c>
      <c r="H5" s="6" t="s">
        <v>132</v>
      </c>
      <c r="I5" s="6"/>
      <c r="J5" s="6"/>
      <c r="K5" s="6"/>
    </row>
    <row r="6" spans="1:11" x14ac:dyDescent="0.25">
      <c r="A6" s="39" t="s">
        <v>44</v>
      </c>
      <c r="B6" s="6">
        <f>ROUND((fy22_summary_bnft_projection!D56/fy22_summary_bnft_projection!$D$74),3)</f>
        <v>0</v>
      </c>
      <c r="C6" s="6">
        <v>0.14099999999999999</v>
      </c>
      <c r="D6" s="6">
        <f>ROUND((fy22_summary_bnft_projection!G56/fy22_summary_bnft_projection!$G$74),3)</f>
        <v>0</v>
      </c>
      <c r="E6" s="6">
        <f>ROUND((fy22_summary_bnft_projection!I56/fy22_summary_bnft_projection!$I$74),3)</f>
        <v>0</v>
      </c>
      <c r="G6" s="6">
        <f t="shared" ref="G6:G22" si="0">D6</f>
        <v>0</v>
      </c>
      <c r="H6" s="6"/>
      <c r="I6" s="6"/>
      <c r="J6" s="6"/>
      <c r="K6" s="6"/>
    </row>
    <row r="7" spans="1:11" x14ac:dyDescent="0.25">
      <c r="A7" s="39" t="s">
        <v>105</v>
      </c>
      <c r="B7" s="6">
        <f>ROUND((fy22_summary_bnft_projection!D57/fy22_summary_bnft_projection!$D$74),3)</f>
        <v>1.4E-2</v>
      </c>
      <c r="C7" s="6">
        <v>1.4E-2</v>
      </c>
      <c r="D7" s="6">
        <f>ROUND((fy22_summary_bnft_projection!G57/fy22_summary_bnft_projection!$G$74),3)</f>
        <v>1.4E-2</v>
      </c>
      <c r="E7" s="6">
        <f>ROUND((fy22_summary_bnft_projection!I57/fy22_summary_bnft_projection!$I$74),3)</f>
        <v>0</v>
      </c>
      <c r="G7" s="6">
        <f t="shared" si="0"/>
        <v>1.4E-2</v>
      </c>
      <c r="H7" s="6"/>
      <c r="I7" s="6"/>
      <c r="J7" s="6"/>
      <c r="K7" s="6"/>
    </row>
    <row r="8" spans="1:11" x14ac:dyDescent="0.25">
      <c r="A8" s="54" t="s">
        <v>106</v>
      </c>
      <c r="B8" s="52">
        <f>ROUND(0.891*$B$13,3)</f>
        <v>8.7999999999999995E-2</v>
      </c>
      <c r="C8" s="52">
        <f>ROUND(0.891*$C$13,3)+0.001</f>
        <v>0.14399999999999999</v>
      </c>
      <c r="D8" s="52">
        <v>0</v>
      </c>
      <c r="E8" s="52">
        <v>0</v>
      </c>
      <c r="F8" s="53"/>
      <c r="G8" s="52">
        <f t="shared" si="0"/>
        <v>0</v>
      </c>
      <c r="H8" s="6"/>
      <c r="I8" s="6"/>
      <c r="J8" s="6"/>
      <c r="K8" s="6"/>
    </row>
    <row r="9" spans="1:11" x14ac:dyDescent="0.25">
      <c r="A9" s="54" t="s">
        <v>107</v>
      </c>
      <c r="B9" s="52">
        <f>ROUND(0.092*$B$13,3)</f>
        <v>8.9999999999999993E-3</v>
      </c>
      <c r="C9" s="52">
        <f>ROUND(0.092*$C$13,3)</f>
        <v>1.4999999999999999E-2</v>
      </c>
      <c r="D9" s="52">
        <v>0</v>
      </c>
      <c r="E9" s="52">
        <v>0</v>
      </c>
      <c r="F9" s="53"/>
      <c r="G9" s="52">
        <f t="shared" si="0"/>
        <v>0</v>
      </c>
      <c r="H9" s="6"/>
      <c r="I9" s="6"/>
      <c r="J9" s="6"/>
      <c r="K9" s="6"/>
    </row>
    <row r="10" spans="1:11" x14ac:dyDescent="0.25">
      <c r="A10" s="54" t="s">
        <v>108</v>
      </c>
      <c r="B10" s="52">
        <f>ROUND(0.009*$B$13,3)</f>
        <v>1E-3</v>
      </c>
      <c r="C10" s="52">
        <f>ROUND(0.009*$C$13,3)</f>
        <v>1E-3</v>
      </c>
      <c r="D10" s="52">
        <v>0</v>
      </c>
      <c r="E10" s="52">
        <v>0</v>
      </c>
      <c r="F10" s="53"/>
      <c r="G10" s="52">
        <f t="shared" si="0"/>
        <v>0</v>
      </c>
      <c r="H10" s="6"/>
      <c r="I10" s="6"/>
      <c r="J10" s="6"/>
      <c r="K10" s="6"/>
    </row>
    <row r="11" spans="1:11" x14ac:dyDescent="0.25">
      <c r="A11" s="54" t="s">
        <v>109</v>
      </c>
      <c r="B11" s="52">
        <f>ROUND(0.008*$B$13,3)</f>
        <v>1E-3</v>
      </c>
      <c r="C11" s="52">
        <f>ROUND(0.008*$C$13,3)</f>
        <v>1E-3</v>
      </c>
      <c r="D11" s="52">
        <v>0</v>
      </c>
      <c r="E11" s="52">
        <v>0</v>
      </c>
      <c r="F11" s="53"/>
      <c r="G11" s="52">
        <f t="shared" si="0"/>
        <v>0</v>
      </c>
      <c r="H11" s="6"/>
      <c r="I11" s="6"/>
      <c r="J11" s="6"/>
      <c r="K11" s="6"/>
    </row>
    <row r="12" spans="1:11" x14ac:dyDescent="0.25">
      <c r="A12" s="54" t="s">
        <v>110</v>
      </c>
      <c r="B12" s="52">
        <f>SUM(B8:B11)</f>
        <v>9.8999999999999991E-2</v>
      </c>
      <c r="C12" s="52">
        <f t="shared" ref="C12:E12" si="1">SUM(C8:C11)</f>
        <v>0.16099999999999998</v>
      </c>
      <c r="D12" s="52">
        <f t="shared" si="1"/>
        <v>0</v>
      </c>
      <c r="E12" s="52">
        <f t="shared" si="1"/>
        <v>0</v>
      </c>
      <c r="F12" s="53"/>
      <c r="G12" s="52">
        <f t="shared" si="0"/>
        <v>0</v>
      </c>
      <c r="H12" s="6"/>
      <c r="I12" s="6"/>
      <c r="J12" s="6"/>
      <c r="K12" s="6"/>
    </row>
    <row r="13" spans="1:11" x14ac:dyDescent="0.25">
      <c r="A13" s="39" t="s">
        <v>111</v>
      </c>
      <c r="B13" s="6">
        <f>ROUND(((fy22_summary_bnft_projection!D65+fy22_summary_bnft_projection!D66)/fy22_summary_bnft_projection!$D$74),3)+0.012</f>
        <v>9.8999999999999991E-2</v>
      </c>
      <c r="C13" s="6">
        <v>0.161</v>
      </c>
      <c r="D13" s="6">
        <f>ROUND(((fy22_summary_bnft_projection!G65+fy22_summary_bnft_projection!G66)/fy22_summary_bnft_projection!$G$74),3)</f>
        <v>0</v>
      </c>
      <c r="E13" s="6">
        <v>0</v>
      </c>
      <c r="G13" s="6">
        <f t="shared" si="0"/>
        <v>0</v>
      </c>
      <c r="H13" s="6"/>
      <c r="I13" s="6"/>
      <c r="J13" s="6"/>
      <c r="K13" s="6"/>
    </row>
    <row r="14" spans="1:11" x14ac:dyDescent="0.25">
      <c r="A14" s="39" t="s">
        <v>112</v>
      </c>
      <c r="B14" s="6">
        <f>ROUND((fy22_summary_bnft_projection!D63/fy22_summary_bnft_projection!$D$74),3)</f>
        <v>2E-3</v>
      </c>
      <c r="C14" s="6">
        <v>0</v>
      </c>
      <c r="D14" s="6">
        <f>ROUND((fy22_summary_bnft_projection!G63/fy22_summary_bnft_projection!$G$74),3)+0.003</f>
        <v>5.0000000000000001E-3</v>
      </c>
      <c r="E14" s="6">
        <f>ROUND((fy22_summary_bnft_projection!I63/fy22_summary_bnft_projection!$I$74),3)</f>
        <v>3.0000000000000001E-3</v>
      </c>
      <c r="G14" s="6">
        <f t="shared" si="0"/>
        <v>5.0000000000000001E-3</v>
      </c>
      <c r="H14" s="6"/>
      <c r="I14" s="6"/>
      <c r="J14" s="6"/>
      <c r="K14" s="6"/>
    </row>
    <row r="15" spans="1:11" x14ac:dyDescent="0.25">
      <c r="A15" s="39" t="s">
        <v>113</v>
      </c>
      <c r="B15" s="6">
        <f>ROUND((fy22_summary_bnft_projection!D58/fy22_summary_bnft_projection!$D$74),3)</f>
        <v>2E-3</v>
      </c>
      <c r="C15" s="6">
        <v>2E-3</v>
      </c>
      <c r="D15" s="6">
        <f>ROUND((fy22_summary_bnft_projection!G58/fy22_summary_bnft_projection!$G$74),3)</f>
        <v>0</v>
      </c>
      <c r="E15" s="6">
        <f>ROUND((fy22_summary_bnft_projection!I58/fy22_summary_bnft_projection!$I$74),3)</f>
        <v>0</v>
      </c>
      <c r="G15" s="6">
        <f t="shared" si="0"/>
        <v>0</v>
      </c>
      <c r="H15" s="6"/>
      <c r="I15" s="6"/>
      <c r="J15" s="6"/>
      <c r="K15" s="6"/>
    </row>
    <row r="16" spans="1:11" x14ac:dyDescent="0.25">
      <c r="A16" s="39" t="s">
        <v>114</v>
      </c>
      <c r="B16" s="6">
        <f>ROUND((fy22_summary_bnft_projection!D59/fy22_summary_bnft_projection!$D$74),3)</f>
        <v>3.0000000000000001E-3</v>
      </c>
      <c r="C16" s="6">
        <v>3.0000000000000001E-3</v>
      </c>
      <c r="D16" s="6">
        <f>ROUND((fy22_summary_bnft_projection!G59/fy22_summary_bnft_projection!$G$74),3)</f>
        <v>0</v>
      </c>
      <c r="E16" s="6">
        <f>ROUND((fy22_summary_bnft_projection!I59/fy22_summary_bnft_projection!$I$74),3)</f>
        <v>0</v>
      </c>
      <c r="G16" s="6">
        <f t="shared" si="0"/>
        <v>0</v>
      </c>
      <c r="H16" s="6"/>
      <c r="I16" s="6"/>
      <c r="J16" s="6"/>
      <c r="K16" s="6"/>
    </row>
    <row r="17" spans="1:11" x14ac:dyDescent="0.25">
      <c r="A17" s="39" t="s">
        <v>115</v>
      </c>
      <c r="B17" s="6">
        <f>ROUND((fy22_summary_bnft_projection!D60/fy22_summary_bnft_projection!$D$74),3)+0.001</f>
        <v>1E-3</v>
      </c>
      <c r="C17" s="6">
        <v>1E-3</v>
      </c>
      <c r="D17" s="6">
        <f>ROUND((fy22_summary_bnft_projection!G60/fy22_summary_bnft_projection!$G$74),3)+0.001</f>
        <v>1E-3</v>
      </c>
      <c r="E17" s="6">
        <f>ROUND((fy22_summary_bnft_projection!I60/fy22_summary_bnft_projection!$I$74),3)</f>
        <v>0</v>
      </c>
      <c r="G17" s="6">
        <f t="shared" si="0"/>
        <v>1E-3</v>
      </c>
      <c r="H17" s="6"/>
      <c r="I17" s="6"/>
      <c r="J17" s="6"/>
      <c r="K17" s="6"/>
    </row>
    <row r="18" spans="1:11" x14ac:dyDescent="0.25">
      <c r="A18" s="39" t="s">
        <v>116</v>
      </c>
      <c r="B18" s="6">
        <f>ROUND((fy22_summary_bnft_projection!D61/fy22_summary_bnft_projection!$D$74),3)</f>
        <v>2E-3</v>
      </c>
      <c r="C18" s="6">
        <v>2E-3</v>
      </c>
      <c r="D18" s="6">
        <f>ROUND((fy22_summary_bnft_projection!G61/fy22_summary_bnft_projection!$G$74),3)+0.002</f>
        <v>4.0000000000000001E-3</v>
      </c>
      <c r="E18" s="6">
        <f>ROUND((fy22_summary_bnft_projection!I61/fy22_summary_bnft_projection!$I$74),3)</f>
        <v>2E-3</v>
      </c>
      <c r="G18" s="6">
        <f t="shared" si="0"/>
        <v>4.0000000000000001E-3</v>
      </c>
      <c r="H18" s="6"/>
      <c r="I18" s="6"/>
      <c r="J18" s="6"/>
      <c r="K18" s="6"/>
    </row>
    <row r="19" spans="1:11" x14ac:dyDescent="0.25">
      <c r="A19" s="39" t="s">
        <v>117</v>
      </c>
      <c r="B19" s="6">
        <f>ROUND((fy22_summary_bnft_projection!D67/fy22_summary_bnft_projection!$D$74),3)+0.001</f>
        <v>1E-3</v>
      </c>
      <c r="C19" s="6">
        <v>1E-3</v>
      </c>
      <c r="D19" s="6">
        <f>ROUND((fy22_summary_bnft_projection!G67/fy22_summary_bnft_projection!$G$74),3)</f>
        <v>0</v>
      </c>
      <c r="E19" s="6">
        <f>ROUND((fy22_summary_bnft_projection!I67/fy22_summary_bnft_projection!$I$74),3)</f>
        <v>0</v>
      </c>
      <c r="G19" s="6">
        <f t="shared" si="0"/>
        <v>0</v>
      </c>
      <c r="H19" s="6"/>
      <c r="I19" s="6"/>
      <c r="J19" s="6"/>
      <c r="K19" s="6"/>
    </row>
    <row r="20" spans="1:11" x14ac:dyDescent="0.25">
      <c r="A20" s="39" t="s">
        <v>118</v>
      </c>
      <c r="B20" s="6">
        <f>ROUND((fy22_summary_bnft_projection!D68/fy22_summary_bnft_projection!$D$74),3)</f>
        <v>3.0000000000000001E-3</v>
      </c>
      <c r="C20" s="6">
        <v>5.0000000000000001E-3</v>
      </c>
      <c r="D20" s="6">
        <f>ROUND((fy22_summary_bnft_projection!G68/fy22_summary_bnft_projection!$G$74),3)</f>
        <v>0</v>
      </c>
      <c r="E20" s="6">
        <f>ROUND((fy22_summary_bnft_projection!I68/fy22_summary_bnft_projection!$I$74),3)</f>
        <v>0</v>
      </c>
      <c r="G20" s="6">
        <f t="shared" si="0"/>
        <v>0</v>
      </c>
      <c r="H20" s="6"/>
      <c r="I20" s="6"/>
      <c r="J20" s="6"/>
      <c r="K20" s="6"/>
    </row>
    <row r="21" spans="1:11" x14ac:dyDescent="0.25">
      <c r="A21" s="39" t="s">
        <v>119</v>
      </c>
      <c r="B21" s="6">
        <f>ROUND((fy22_summary_bnft_projection!D64/fy22_summary_bnft_projection!$D$74),3)</f>
        <v>0</v>
      </c>
      <c r="C21" s="6">
        <v>0</v>
      </c>
      <c r="D21" s="6">
        <f>ROUND((fy22_summary_bnft_projection!G64/fy22_summary_bnft_projection!$G$74),3)</f>
        <v>0</v>
      </c>
      <c r="E21" s="6">
        <f>ROUND((fy22_summary_bnft_projection!I64/fy22_summary_bnft_projection!$I$74),3)+0.008</f>
        <v>0.10999999999999999</v>
      </c>
      <c r="G21" s="6">
        <f t="shared" si="0"/>
        <v>0</v>
      </c>
      <c r="H21" s="6"/>
      <c r="I21" s="6"/>
      <c r="J21" s="6"/>
      <c r="K21" s="6"/>
    </row>
    <row r="22" spans="1:11" x14ac:dyDescent="0.25">
      <c r="A22" s="39" t="s">
        <v>120</v>
      </c>
      <c r="B22" s="6">
        <f>ROUND((fy22_summary_bnft_projection!D69/fy22_summary_bnft_projection!$D$74),3)</f>
        <v>8.0000000000000002E-3</v>
      </c>
      <c r="C22" s="6">
        <v>1.2999999999999999E-2</v>
      </c>
      <c r="D22" s="6">
        <f>ROUND((fy22_summary_bnft_projection!G69/fy22_summary_bnft_projection!$G$74),3)</f>
        <v>0</v>
      </c>
      <c r="E22" s="6">
        <f>ROUND((fy22_summary_bnft_projection!I69/fy22_summary_bnft_projection!$I$74),3)</f>
        <v>0</v>
      </c>
      <c r="G22" s="6">
        <f t="shared" si="0"/>
        <v>0</v>
      </c>
      <c r="H22" s="6"/>
      <c r="I22" s="6"/>
      <c r="J22" s="6"/>
      <c r="K22" s="6"/>
    </row>
    <row r="23" spans="1:11" x14ac:dyDescent="0.25">
      <c r="A23" s="40" t="s">
        <v>122</v>
      </c>
      <c r="B23" s="6">
        <f>'Rate Summary'!B16</f>
        <v>0.27600000000000002</v>
      </c>
      <c r="C23" s="6">
        <f>'Rate Summary'!B17</f>
        <v>0.35099999999999998</v>
      </c>
      <c r="D23" s="6">
        <f>'Rate Summary'!B18</f>
        <v>0.16500000000000001</v>
      </c>
      <c r="E23" s="6">
        <f>'Rate Summary'!B19</f>
        <v>0.115</v>
      </c>
      <c r="G23" s="6">
        <f>D23</f>
        <v>0.16500000000000001</v>
      </c>
      <c r="H23" s="6"/>
      <c r="I23" s="6"/>
      <c r="J23" s="6"/>
      <c r="K23" s="6"/>
    </row>
    <row r="24" spans="1:11" x14ac:dyDescent="0.25">
      <c r="A24" s="41"/>
      <c r="B24" s="6"/>
      <c r="C24" s="6"/>
      <c r="D24" s="6"/>
      <c r="E24" s="6"/>
      <c r="G24" s="6"/>
      <c r="H24" s="6"/>
      <c r="I24" s="6"/>
      <c r="J24" s="6"/>
      <c r="K24" s="6"/>
    </row>
    <row r="25" spans="1:11" x14ac:dyDescent="0.25">
      <c r="A25" s="41" t="s">
        <v>131</v>
      </c>
      <c r="B25" s="6">
        <v>0</v>
      </c>
      <c r="C25" s="6">
        <v>8.0000000000000002E-3</v>
      </c>
      <c r="D25" s="6">
        <v>0</v>
      </c>
      <c r="E25" s="6">
        <v>0</v>
      </c>
      <c r="G25" s="6">
        <v>0</v>
      </c>
      <c r="H25" s="6"/>
      <c r="I25" s="6"/>
      <c r="J25" s="6"/>
      <c r="K25" s="6"/>
    </row>
    <row r="26" spans="1:11" x14ac:dyDescent="0.25">
      <c r="A26" s="41"/>
      <c r="B26" s="6"/>
      <c r="C26" s="6"/>
      <c r="D26" s="6"/>
      <c r="E26" s="6"/>
      <c r="G26" s="6"/>
      <c r="H26" s="6"/>
      <c r="I26" s="6"/>
      <c r="J26" s="6"/>
      <c r="K26" s="6"/>
    </row>
    <row r="27" spans="1:11" x14ac:dyDescent="0.25">
      <c r="A27" s="42" t="s">
        <v>123</v>
      </c>
      <c r="B27" s="6">
        <f>SUM(B5:B7,B13:B22)+B25</f>
        <v>0.27600000000000002</v>
      </c>
      <c r="C27" s="6">
        <f t="shared" ref="C27:E27" si="2">SUM(C5:C7,C13:C22)+C25</f>
        <v>0.35100000000000003</v>
      </c>
      <c r="D27" s="6">
        <f t="shared" si="2"/>
        <v>0.16500000000000001</v>
      </c>
      <c r="E27" s="6">
        <f t="shared" si="2"/>
        <v>0.11499999999999999</v>
      </c>
      <c r="G27" s="6">
        <f t="shared" ref="G27" si="3">SUM(G5:G7,G13:G22)+G25</f>
        <v>0.16500000000000001</v>
      </c>
      <c r="H27" s="6"/>
      <c r="I27" s="6"/>
      <c r="J27" s="6"/>
      <c r="K27" s="6"/>
    </row>
    <row r="29" spans="1:11" x14ac:dyDescent="0.25">
      <c r="B29" s="45">
        <f>B23-B27</f>
        <v>0</v>
      </c>
      <c r="C29" s="45">
        <f t="shared" ref="C29:E29" si="4">C23-C27</f>
        <v>0</v>
      </c>
      <c r="D29" s="45">
        <f t="shared" si="4"/>
        <v>0</v>
      </c>
      <c r="E29" s="45">
        <f t="shared" si="4"/>
        <v>0</v>
      </c>
      <c r="G29" s="45">
        <f t="shared" ref="G29" si="5">G23-G27</f>
        <v>0</v>
      </c>
      <c r="H29" s="45"/>
      <c r="I29" s="45"/>
      <c r="J29" s="45"/>
      <c r="K29" s="4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1BDF-DBFB-4E44-BA9C-6AC504DA65CD}">
  <dimension ref="A3:K32"/>
  <sheetViews>
    <sheetView workbookViewId="0">
      <selection activeCell="C17" sqref="C17"/>
    </sheetView>
  </sheetViews>
  <sheetFormatPr defaultRowHeight="13.2" x14ac:dyDescent="0.25"/>
  <cols>
    <col min="1" max="1" width="41.109375" style="50" bestFit="1" customWidth="1"/>
    <col min="2" max="2" width="11.109375" style="50" customWidth="1"/>
    <col min="3" max="3" width="26.6640625" style="50" bestFit="1" customWidth="1"/>
    <col min="4" max="4" width="41.109375" style="50" customWidth="1"/>
    <col min="5" max="8" width="10.6640625" customWidth="1"/>
    <col min="9" max="9" width="4.5546875" customWidth="1"/>
  </cols>
  <sheetData>
    <row r="3" spans="1:11" x14ac:dyDescent="0.25">
      <c r="E3" s="44" t="s">
        <v>99</v>
      </c>
      <c r="F3" s="43"/>
      <c r="G3" s="43"/>
      <c r="H3" s="43"/>
    </row>
    <row r="4" spans="1:11" x14ac:dyDescent="0.25">
      <c r="E4" s="2" t="s">
        <v>9</v>
      </c>
      <c r="F4" s="2" t="s">
        <v>124</v>
      </c>
      <c r="G4" s="2" t="s">
        <v>12</v>
      </c>
      <c r="H4" s="2" t="s">
        <v>129</v>
      </c>
    </row>
    <row r="5" spans="1:11" x14ac:dyDescent="0.25">
      <c r="A5" s="61" t="s">
        <v>162</v>
      </c>
      <c r="B5" s="61" t="s">
        <v>165</v>
      </c>
      <c r="C5" s="61" t="s">
        <v>163</v>
      </c>
      <c r="D5" s="61" t="s">
        <v>164</v>
      </c>
      <c r="E5" s="2" t="s">
        <v>18</v>
      </c>
      <c r="F5" s="2" t="s">
        <v>97</v>
      </c>
      <c r="G5" s="2" t="s">
        <v>24</v>
      </c>
      <c r="H5" s="2" t="s">
        <v>26</v>
      </c>
      <c r="J5" t="s">
        <v>100</v>
      </c>
    </row>
    <row r="6" spans="1:11" x14ac:dyDescent="0.25">
      <c r="A6" s="50" t="s">
        <v>42</v>
      </c>
      <c r="B6" s="50" t="s">
        <v>138</v>
      </c>
      <c r="C6" t="s">
        <v>166</v>
      </c>
      <c r="D6" t="s">
        <v>167</v>
      </c>
      <c r="E6" s="6">
        <f>ROUND('Components OSP'!B5/'Components OSP'!$B$23,3)</f>
        <v>0.51100000000000001</v>
      </c>
      <c r="F6" s="6">
        <f>ROUND('Components OSP'!C5/'Components OSP'!$C$23,3)</f>
        <v>0</v>
      </c>
      <c r="G6" s="6">
        <f>ROUND('Components OSP'!D5/'Components OSP'!$D$23,3)</f>
        <v>0.85499999999999998</v>
      </c>
      <c r="H6" s="6">
        <f>ROUND('Components OSP'!E5/'Components OSP'!$E$23,3)</f>
        <v>0</v>
      </c>
      <c r="J6" s="6">
        <f>G6</f>
        <v>0.85499999999999998</v>
      </c>
      <c r="K6" t="s">
        <v>154</v>
      </c>
    </row>
    <row r="7" spans="1:11" x14ac:dyDescent="0.25">
      <c r="A7" s="50" t="s">
        <v>44</v>
      </c>
      <c r="B7" s="50" t="s">
        <v>139</v>
      </c>
      <c r="C7" t="s">
        <v>166</v>
      </c>
      <c r="D7" t="s">
        <v>167</v>
      </c>
      <c r="E7" s="6">
        <f>ROUND('Components OSP'!B6/'Components OSP'!$B$23,3)</f>
        <v>0</v>
      </c>
      <c r="F7" s="6">
        <f>ROUND('Components OSP'!C6/'Components OSP'!$C$23,3)</f>
        <v>0.40200000000000002</v>
      </c>
      <c r="G7" s="6">
        <f>ROUND('Components OSP'!D6/'Components OSP'!$D$23,3)</f>
        <v>0</v>
      </c>
      <c r="H7" s="6">
        <f>ROUND('Components OSP'!E6/'Components OSP'!$E$23,3)</f>
        <v>0</v>
      </c>
      <c r="J7" s="6">
        <f t="shared" ref="J7:J29" si="0">G7</f>
        <v>0</v>
      </c>
    </row>
    <row r="8" spans="1:11" x14ac:dyDescent="0.25">
      <c r="A8" s="50" t="s">
        <v>46</v>
      </c>
      <c r="B8" s="51" t="s">
        <v>140</v>
      </c>
      <c r="C8" t="s">
        <v>166</v>
      </c>
      <c r="D8" t="s">
        <v>167</v>
      </c>
      <c r="E8" s="6">
        <f>ROUND('Components OSP'!B7/'Components OSP'!$B$23,3)</f>
        <v>5.0999999999999997E-2</v>
      </c>
      <c r="F8" s="6">
        <f>ROUND('Components OSP'!C7/'Components OSP'!$C$23,3)</f>
        <v>0.04</v>
      </c>
      <c r="G8" s="6">
        <f>ROUND('Components OSP'!D7/'Components OSP'!$D$23,3)</f>
        <v>8.5000000000000006E-2</v>
      </c>
      <c r="H8" s="6">
        <f>ROUND('Components OSP'!E7/'Components OSP'!$E$23,3)</f>
        <v>0</v>
      </c>
      <c r="J8" s="6">
        <f t="shared" si="0"/>
        <v>8.5000000000000006E-2</v>
      </c>
    </row>
    <row r="9" spans="1:11" x14ac:dyDescent="0.25">
      <c r="A9" s="55" t="s">
        <v>106</v>
      </c>
      <c r="B9" s="56" t="s">
        <v>141</v>
      </c>
      <c r="C9" s="56" t="s">
        <v>166</v>
      </c>
      <c r="D9" s="56" t="s">
        <v>167</v>
      </c>
      <c r="E9" s="52">
        <f>ROUND('Components OSP'!B8/'Components OSP'!$B$23,3)-0.002</f>
        <v>0.317</v>
      </c>
      <c r="F9" s="52">
        <f>ROUND('Components OSP'!C8/'Components OSP'!$C$23,3)-0.002</f>
        <v>0.40799999999999997</v>
      </c>
      <c r="G9" s="52">
        <f>ROUND('Components OSP'!D8/'Components OSP'!$D$23,3)</f>
        <v>0</v>
      </c>
      <c r="H9" s="52">
        <f>ROUND('Components OSP'!E8/'Components OSP'!$E$23,3)</f>
        <v>0</v>
      </c>
      <c r="I9" s="53"/>
      <c r="J9" s="52">
        <f t="shared" si="0"/>
        <v>0</v>
      </c>
    </row>
    <row r="10" spans="1:11" x14ac:dyDescent="0.25">
      <c r="A10" s="55" t="s">
        <v>109</v>
      </c>
      <c r="B10" s="56" t="s">
        <v>142</v>
      </c>
      <c r="C10" s="56" t="s">
        <v>166</v>
      </c>
      <c r="D10" s="56" t="s">
        <v>167</v>
      </c>
      <c r="E10" s="52">
        <f>ROUND('Components OSP'!B9/'Components OSP'!$B$23,3)</f>
        <v>3.3000000000000002E-2</v>
      </c>
      <c r="F10" s="52">
        <f>ROUND('Components OSP'!C9/'Components OSP'!$C$23,3)</f>
        <v>4.2999999999999997E-2</v>
      </c>
      <c r="G10" s="52">
        <f>ROUND('Components OSP'!D9/'Components OSP'!$D$23,3)</f>
        <v>0</v>
      </c>
      <c r="H10" s="52">
        <f>ROUND('Components OSP'!E9/'Components OSP'!$E$23,3)</f>
        <v>0</v>
      </c>
      <c r="I10" s="53"/>
      <c r="J10" s="52">
        <f t="shared" si="0"/>
        <v>0</v>
      </c>
    </row>
    <row r="11" spans="1:11" x14ac:dyDescent="0.25">
      <c r="A11" s="55" t="s">
        <v>108</v>
      </c>
      <c r="B11" s="56" t="s">
        <v>143</v>
      </c>
      <c r="C11" s="56" t="s">
        <v>166</v>
      </c>
      <c r="D11" s="56" t="s">
        <v>167</v>
      </c>
      <c r="E11" s="52">
        <f>ROUND('Components OSP'!B10/'Components OSP'!$B$23,3)</f>
        <v>4.0000000000000001E-3</v>
      </c>
      <c r="F11" s="52">
        <f>ROUND('Components OSP'!C10/'Components OSP'!$C$23,3)</f>
        <v>3.0000000000000001E-3</v>
      </c>
      <c r="G11" s="52">
        <f>ROUND('Components OSP'!D10/'Components OSP'!$D$23,3)</f>
        <v>0</v>
      </c>
      <c r="H11" s="52">
        <f>ROUND('Components OSP'!E10/'Components OSP'!$E$23,3)</f>
        <v>0</v>
      </c>
      <c r="I11" s="53"/>
      <c r="J11" s="52">
        <f t="shared" si="0"/>
        <v>0</v>
      </c>
    </row>
    <row r="12" spans="1:11" x14ac:dyDescent="0.25">
      <c r="A12" s="55" t="s">
        <v>107</v>
      </c>
      <c r="B12" s="56" t="s">
        <v>144</v>
      </c>
      <c r="C12" s="56" t="s">
        <v>166</v>
      </c>
      <c r="D12" s="56" t="s">
        <v>167</v>
      </c>
      <c r="E12" s="52">
        <f>ROUND('Components OSP'!B11/'Components OSP'!$B$23,3)</f>
        <v>4.0000000000000001E-3</v>
      </c>
      <c r="F12" s="52">
        <f>ROUND('Components OSP'!C11/'Components OSP'!$C$23,3)</f>
        <v>3.0000000000000001E-3</v>
      </c>
      <c r="G12" s="52">
        <f>ROUND('Components OSP'!D11/'Components OSP'!$D$23,3)</f>
        <v>0</v>
      </c>
      <c r="H12" s="52">
        <f>ROUND('Components OSP'!E11/'Components OSP'!$E$23,3)</f>
        <v>0</v>
      </c>
      <c r="I12" s="53"/>
      <c r="J12" s="52">
        <f t="shared" si="0"/>
        <v>0</v>
      </c>
    </row>
    <row r="13" spans="1:11" x14ac:dyDescent="0.25">
      <c r="A13" s="55" t="s">
        <v>110</v>
      </c>
      <c r="B13" s="56"/>
      <c r="C13" s="56" t="s">
        <v>166</v>
      </c>
      <c r="D13" s="56" t="s">
        <v>167</v>
      </c>
      <c r="E13" s="52">
        <f>SUM(E9:E12)</f>
        <v>0.35799999999999998</v>
      </c>
      <c r="F13" s="52">
        <f t="shared" ref="F13:H13" si="1">SUM(F9:F12)</f>
        <v>0.45699999999999996</v>
      </c>
      <c r="G13" s="52">
        <f t="shared" si="1"/>
        <v>0</v>
      </c>
      <c r="H13" s="52">
        <f t="shared" si="1"/>
        <v>0</v>
      </c>
      <c r="I13" s="53"/>
      <c r="J13" s="52">
        <f t="shared" si="0"/>
        <v>0</v>
      </c>
    </row>
    <row r="14" spans="1:11" x14ac:dyDescent="0.25">
      <c r="A14" s="55" t="s">
        <v>111</v>
      </c>
      <c r="B14" s="56"/>
      <c r="C14" s="56" t="s">
        <v>166</v>
      </c>
      <c r="D14" s="56" t="s">
        <v>167</v>
      </c>
      <c r="E14" s="52">
        <f>ROUND('Components OSP'!B13/'Components OSP'!$B$23,3)-0.001</f>
        <v>0.35799999999999998</v>
      </c>
      <c r="F14" s="52">
        <f>ROUND('Components OSP'!C13/'Components OSP'!$C$23,3)-0.002</f>
        <v>0.45700000000000002</v>
      </c>
      <c r="G14" s="52">
        <v>0</v>
      </c>
      <c r="H14" s="52">
        <v>0</v>
      </c>
      <c r="I14" s="53"/>
      <c r="J14" s="52">
        <f t="shared" si="0"/>
        <v>0</v>
      </c>
    </row>
    <row r="15" spans="1:11" x14ac:dyDescent="0.25">
      <c r="A15" s="50" t="s">
        <v>137</v>
      </c>
      <c r="B15" s="50" t="s">
        <v>145</v>
      </c>
      <c r="C15" t="s">
        <v>166</v>
      </c>
      <c r="D15" t="s">
        <v>167</v>
      </c>
      <c r="E15" s="6">
        <f>ROUND('Components OSP'!B14/'Components OSP'!$B$23,3)</f>
        <v>7.0000000000000001E-3</v>
      </c>
      <c r="F15" s="6">
        <f>ROUND('Components OSP'!C14/'Components OSP'!$C$23,3)</f>
        <v>0</v>
      </c>
      <c r="G15" s="6">
        <f>ROUND('Components OSP'!D14/'Components OSP'!$D$23,3)</f>
        <v>0.03</v>
      </c>
      <c r="H15" s="6">
        <f>ROUND('Components OSP'!E14/'Components OSP'!$E$23,3)</f>
        <v>2.5999999999999999E-2</v>
      </c>
      <c r="J15" s="6">
        <f t="shared" si="0"/>
        <v>0.03</v>
      </c>
    </row>
    <row r="16" spans="1:11" x14ac:dyDescent="0.25">
      <c r="A16" s="50" t="s">
        <v>47</v>
      </c>
      <c r="B16" s="50" t="s">
        <v>146</v>
      </c>
      <c r="C16" t="s">
        <v>166</v>
      </c>
      <c r="D16" t="s">
        <v>167</v>
      </c>
      <c r="E16" s="6">
        <f>ROUND('Components OSP'!B15/'Components OSP'!$B$23,3)</f>
        <v>7.0000000000000001E-3</v>
      </c>
      <c r="F16" s="6">
        <f>ROUND('Components OSP'!C15/'Components OSP'!$C$23,3)</f>
        <v>6.0000000000000001E-3</v>
      </c>
      <c r="G16" s="6">
        <f>ROUND('Components OSP'!D15/'Components OSP'!$D$23,3)</f>
        <v>0</v>
      </c>
      <c r="H16" s="6">
        <f>ROUND('Components OSP'!E15/'Components OSP'!$E$23,3)</f>
        <v>0</v>
      </c>
      <c r="J16" s="6">
        <f t="shared" si="0"/>
        <v>0</v>
      </c>
    </row>
    <row r="17" spans="1:10" x14ac:dyDescent="0.25">
      <c r="A17" s="50" t="s">
        <v>48</v>
      </c>
      <c r="B17" s="50" t="s">
        <v>147</v>
      </c>
      <c r="C17" t="s">
        <v>166</v>
      </c>
      <c r="D17" t="s">
        <v>167</v>
      </c>
      <c r="E17" s="6">
        <f>ROUND('Components OSP'!B16/'Components OSP'!$B$23,3)</f>
        <v>1.0999999999999999E-2</v>
      </c>
      <c r="F17" s="6">
        <f>ROUND('Components OSP'!C16/'Components OSP'!$C$23,3)</f>
        <v>8.9999999999999993E-3</v>
      </c>
      <c r="G17" s="6">
        <f>ROUND('Components OSP'!D16/'Components OSP'!$D$23,3)</f>
        <v>0</v>
      </c>
      <c r="H17" s="6">
        <f>ROUND('Components OSP'!E16/'Components OSP'!$E$23,3)</f>
        <v>0</v>
      </c>
      <c r="J17" s="6">
        <f t="shared" si="0"/>
        <v>0</v>
      </c>
    </row>
    <row r="18" spans="1:10" x14ac:dyDescent="0.25">
      <c r="A18" s="50" t="s">
        <v>49</v>
      </c>
      <c r="B18" s="51" t="s">
        <v>148</v>
      </c>
      <c r="C18" t="s">
        <v>166</v>
      </c>
      <c r="D18" t="s">
        <v>167</v>
      </c>
      <c r="E18" s="6">
        <f>ROUND('Components OSP'!B17/'Components OSP'!$B$23,3)</f>
        <v>4.0000000000000001E-3</v>
      </c>
      <c r="F18" s="6">
        <f>ROUND('Components OSP'!C17/'Components OSP'!$C$23,3)</f>
        <v>3.0000000000000001E-3</v>
      </c>
      <c r="G18" s="6">
        <f>ROUND('Components OSP'!D17/'Components OSP'!$D$23,3)</f>
        <v>6.0000000000000001E-3</v>
      </c>
      <c r="H18" s="6">
        <f>ROUND('Components OSP'!E17/'Components OSP'!$E$23,3)</f>
        <v>0</v>
      </c>
      <c r="J18" s="6">
        <f t="shared" si="0"/>
        <v>6.0000000000000001E-3</v>
      </c>
    </row>
    <row r="19" spans="1:10" x14ac:dyDescent="0.25">
      <c r="A19" s="50" t="s">
        <v>136</v>
      </c>
      <c r="B19" s="51" t="s">
        <v>149</v>
      </c>
      <c r="C19" t="s">
        <v>166</v>
      </c>
      <c r="D19" t="s">
        <v>167</v>
      </c>
      <c r="E19" s="6">
        <f>ROUND('Components OSP'!B18/'Components OSP'!$B$23,3)</f>
        <v>7.0000000000000001E-3</v>
      </c>
      <c r="F19" s="6">
        <f>ROUND('Components OSP'!C18/'Components OSP'!$C$23,3)</f>
        <v>6.0000000000000001E-3</v>
      </c>
      <c r="G19" s="6">
        <f>ROUND('Components OSP'!D18/'Components OSP'!$D$23,3)</f>
        <v>2.4E-2</v>
      </c>
      <c r="H19" s="6">
        <f>ROUND('Components OSP'!E18/'Components OSP'!$E$23,3)</f>
        <v>1.7000000000000001E-2</v>
      </c>
      <c r="J19" s="6">
        <f t="shared" si="0"/>
        <v>2.4E-2</v>
      </c>
    </row>
    <row r="20" spans="1:10" x14ac:dyDescent="0.25">
      <c r="A20" s="50" t="s">
        <v>58</v>
      </c>
      <c r="B20" s="51" t="s">
        <v>150</v>
      </c>
      <c r="C20" t="s">
        <v>166</v>
      </c>
      <c r="D20" t="s">
        <v>167</v>
      </c>
      <c r="E20" s="6">
        <f>ROUND('Components OSP'!B19/'Components OSP'!$B$23,3)</f>
        <v>4.0000000000000001E-3</v>
      </c>
      <c r="F20" s="6">
        <f>ROUND('Components OSP'!C19/'Components OSP'!$C$23,3)</f>
        <v>3.0000000000000001E-3</v>
      </c>
      <c r="G20" s="6">
        <f>ROUND('Components OSP'!D19/'Components OSP'!$D$23,3)</f>
        <v>0</v>
      </c>
      <c r="H20" s="6">
        <f>ROUND('Components OSP'!E19/'Components OSP'!$E$23,3)</f>
        <v>0</v>
      </c>
      <c r="J20" s="6">
        <f t="shared" si="0"/>
        <v>0</v>
      </c>
    </row>
    <row r="21" spans="1:10" x14ac:dyDescent="0.25">
      <c r="A21" s="50" t="s">
        <v>59</v>
      </c>
      <c r="B21" s="51" t="s">
        <v>151</v>
      </c>
      <c r="C21" t="s">
        <v>166</v>
      </c>
      <c r="D21" t="s">
        <v>167</v>
      </c>
      <c r="E21" s="6">
        <f>ROUND('Components OSP'!B20/'Components OSP'!$B$23,3)</f>
        <v>1.0999999999999999E-2</v>
      </c>
      <c r="F21" s="6">
        <f>ROUND('Components OSP'!C20/'Components OSP'!$C$23,3)</f>
        <v>1.4E-2</v>
      </c>
      <c r="G21" s="6">
        <f>ROUND('Components OSP'!D20/'Components OSP'!$D$23,3)</f>
        <v>0</v>
      </c>
      <c r="H21" s="6">
        <f>ROUND('Components OSP'!E20/'Components OSP'!$E$23,3)</f>
        <v>0</v>
      </c>
      <c r="J21" s="6">
        <f t="shared" si="0"/>
        <v>0</v>
      </c>
    </row>
    <row r="22" spans="1:10" x14ac:dyDescent="0.25">
      <c r="A22" s="50" t="s">
        <v>54</v>
      </c>
      <c r="B22" s="51" t="s">
        <v>152</v>
      </c>
      <c r="C22" t="s">
        <v>166</v>
      </c>
      <c r="D22" t="s">
        <v>167</v>
      </c>
      <c r="E22" s="6">
        <f>ROUND('Components OSP'!B21/'Components OSP'!$B$23,3)</f>
        <v>0</v>
      </c>
      <c r="F22" s="6">
        <f>ROUND('Components OSP'!C21/'Components OSP'!$C$23,3)</f>
        <v>0</v>
      </c>
      <c r="G22" s="6">
        <f>ROUND('Components OSP'!D21/'Components OSP'!$D$23,3)</f>
        <v>0</v>
      </c>
      <c r="H22" s="6">
        <f>ROUND('Components OSP'!E21/'Components OSP'!$E$23,3)</f>
        <v>0.95699999999999996</v>
      </c>
      <c r="J22" s="6">
        <f t="shared" si="0"/>
        <v>0</v>
      </c>
    </row>
    <row r="23" spans="1:10" x14ac:dyDescent="0.25">
      <c r="A23" s="50" t="s">
        <v>60</v>
      </c>
      <c r="B23" s="51" t="s">
        <v>153</v>
      </c>
      <c r="C23" t="s">
        <v>166</v>
      </c>
      <c r="D23" t="s">
        <v>167</v>
      </c>
      <c r="E23" s="6">
        <f>ROUND('Components OSP'!B22/'Components OSP'!$B$23,3)</f>
        <v>2.9000000000000001E-2</v>
      </c>
      <c r="F23" s="6">
        <f>ROUND('Components OSP'!C22/'Components OSP'!$C$23,3)</f>
        <v>3.6999999999999998E-2</v>
      </c>
      <c r="G23" s="6">
        <f>ROUND('Components OSP'!D22/'Components OSP'!$D$23,3)</f>
        <v>0</v>
      </c>
      <c r="H23" s="6">
        <f>ROUND('Components OSP'!E22/'Components OSP'!$E$23,3)</f>
        <v>0</v>
      </c>
      <c r="J23" s="6">
        <f t="shared" si="0"/>
        <v>0</v>
      </c>
    </row>
    <row r="24" spans="1:10" x14ac:dyDescent="0.25">
      <c r="B24" s="51"/>
      <c r="E24" s="6"/>
      <c r="F24" s="6"/>
      <c r="G24" s="6"/>
      <c r="H24" s="6"/>
      <c r="J24" s="6"/>
    </row>
    <row r="25" spans="1:10" x14ac:dyDescent="0.25">
      <c r="A25" s="50" t="s">
        <v>133</v>
      </c>
      <c r="B25" s="51"/>
      <c r="E25" s="6">
        <f>SUM(E6:E12,E15:E23)</f>
        <v>1</v>
      </c>
      <c r="F25" s="6">
        <f t="shared" ref="F25:H25" si="2">SUM(F6:F12,F15:F23)</f>
        <v>0.97700000000000009</v>
      </c>
      <c r="G25" s="6">
        <f t="shared" si="2"/>
        <v>1</v>
      </c>
      <c r="H25" s="6">
        <f t="shared" si="2"/>
        <v>1</v>
      </c>
      <c r="J25" s="6">
        <f t="shared" si="0"/>
        <v>1</v>
      </c>
    </row>
    <row r="26" spans="1:10" x14ac:dyDescent="0.25">
      <c r="E26" s="6"/>
      <c r="F26" s="6"/>
      <c r="G26" s="6"/>
      <c r="H26" s="6"/>
      <c r="J26" s="6"/>
    </row>
    <row r="27" spans="1:10" x14ac:dyDescent="0.25">
      <c r="A27" s="50" t="s">
        <v>134</v>
      </c>
      <c r="B27" s="50" t="s">
        <v>161</v>
      </c>
      <c r="C27" t="s">
        <v>166</v>
      </c>
      <c r="D27" t="s">
        <v>168</v>
      </c>
      <c r="E27" s="6">
        <v>0</v>
      </c>
      <c r="F27" s="6">
        <f>ROUND('Components OSP'!C25/'Components OSP'!$C$23,3)</f>
        <v>2.3E-2</v>
      </c>
      <c r="G27" s="6">
        <v>0</v>
      </c>
      <c r="H27" s="6">
        <v>0</v>
      </c>
      <c r="J27" s="6">
        <f t="shared" si="0"/>
        <v>0</v>
      </c>
    </row>
    <row r="28" spans="1:10" x14ac:dyDescent="0.25">
      <c r="E28" s="6"/>
      <c r="F28" s="6"/>
      <c r="G28" s="6"/>
      <c r="H28" s="6"/>
      <c r="J28" s="6"/>
    </row>
    <row r="29" spans="1:10" x14ac:dyDescent="0.25">
      <c r="A29" s="50" t="s">
        <v>135</v>
      </c>
      <c r="E29" s="45">
        <f>E27+E25</f>
        <v>1</v>
      </c>
      <c r="F29" s="45">
        <f t="shared" ref="F29:H29" si="3">F27+F25</f>
        <v>1</v>
      </c>
      <c r="G29" s="45">
        <f t="shared" si="3"/>
        <v>1</v>
      </c>
      <c r="H29" s="45">
        <f t="shared" si="3"/>
        <v>1</v>
      </c>
      <c r="J29" s="45">
        <f t="shared" si="0"/>
        <v>1</v>
      </c>
    </row>
    <row r="30" spans="1:10" x14ac:dyDescent="0.25">
      <c r="E30" s="45"/>
      <c r="F30" s="45"/>
      <c r="G30" s="45"/>
      <c r="H30" s="45"/>
    </row>
    <row r="32" spans="1:10" x14ac:dyDescent="0.25">
      <c r="E32" s="6"/>
      <c r="F32" s="6"/>
      <c r="G32" s="6"/>
      <c r="H32" s="6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D6B8D-5DA7-4A6C-8C48-A8B388F575DA}">
  <sheetPr>
    <pageSetUpPr fitToPage="1"/>
  </sheetPr>
  <dimension ref="A1:Y111"/>
  <sheetViews>
    <sheetView zoomScale="90" workbookViewId="0">
      <pane xSplit="3" ySplit="12" topLeftCell="D13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3.2" x14ac:dyDescent="0.25"/>
  <cols>
    <col min="1" max="1" width="32.5546875" customWidth="1"/>
    <col min="2" max="2" width="13" customWidth="1"/>
    <col min="3" max="3" width="24.44140625" customWidth="1"/>
    <col min="4" max="4" width="15.6640625" customWidth="1"/>
    <col min="5" max="5" width="13.33203125" customWidth="1"/>
    <col min="6" max="6" width="13.5546875" customWidth="1"/>
    <col min="7" max="7" width="13.88671875" customWidth="1"/>
    <col min="8" max="8" width="15.33203125" customWidth="1"/>
    <col min="9" max="15" width="13.33203125" customWidth="1"/>
    <col min="16" max="16" width="16.33203125" customWidth="1"/>
    <col min="17" max="18" width="13.33203125" customWidth="1"/>
    <col min="19" max="19" width="15" customWidth="1"/>
    <col min="21" max="21" width="17" customWidth="1"/>
    <col min="23" max="23" width="18.44140625" customWidth="1"/>
    <col min="24" max="24" width="14.5546875" customWidth="1"/>
  </cols>
  <sheetData>
    <row r="1" spans="1:24" x14ac:dyDescent="0.25">
      <c r="A1" s="1" t="s">
        <v>0</v>
      </c>
    </row>
    <row r="2" spans="1:24" x14ac:dyDescent="0.25">
      <c r="A2" s="1" t="s">
        <v>1</v>
      </c>
    </row>
    <row r="3" spans="1:24" x14ac:dyDescent="0.25">
      <c r="A3" s="1" t="s">
        <v>2</v>
      </c>
    </row>
    <row r="4" spans="1:24" x14ac:dyDescent="0.25">
      <c r="A4" s="1"/>
      <c r="C4" s="2" t="s">
        <v>3</v>
      </c>
      <c r="D4" s="3">
        <f t="shared" ref="D4:J4" si="0">D13/D15</f>
        <v>117775.63573505852</v>
      </c>
      <c r="E4" s="3">
        <f t="shared" si="0"/>
        <v>63803.71121954095</v>
      </c>
      <c r="F4" s="3">
        <f t="shared" si="0"/>
        <v>71236.674742010917</v>
      </c>
      <c r="G4" s="3">
        <f t="shared" si="0"/>
        <v>74843.829210049938</v>
      </c>
      <c r="H4" s="3">
        <f t="shared" si="0"/>
        <v>543230.39714817458</v>
      </c>
      <c r="I4" s="3">
        <f t="shared" si="0"/>
        <v>42311.582463096609</v>
      </c>
      <c r="J4" s="3">
        <f t="shared" si="0"/>
        <v>37776.013157824753</v>
      </c>
      <c r="K4" s="3"/>
      <c r="P4" s="4" t="s">
        <v>4</v>
      </c>
    </row>
    <row r="5" spans="1:24" x14ac:dyDescent="0.25">
      <c r="A5" s="1"/>
      <c r="C5" s="2" t="s">
        <v>5</v>
      </c>
      <c r="D5" s="3">
        <v>115460</v>
      </c>
      <c r="E5" s="3">
        <v>60506</v>
      </c>
      <c r="F5" s="3">
        <v>70296</v>
      </c>
      <c r="G5" s="3">
        <v>75703</v>
      </c>
      <c r="H5" s="3">
        <v>521218</v>
      </c>
      <c r="I5" s="3">
        <v>40815</v>
      </c>
      <c r="J5" s="3">
        <v>36810</v>
      </c>
      <c r="K5" s="3"/>
      <c r="P5" s="4" t="s">
        <v>6</v>
      </c>
      <c r="X5" s="5">
        <f>386/470</f>
        <v>0.82127659574468082</v>
      </c>
    </row>
    <row r="6" spans="1:24" x14ac:dyDescent="0.25">
      <c r="A6" s="1"/>
      <c r="C6" t="s">
        <v>7</v>
      </c>
      <c r="D6" s="6">
        <f t="shared" ref="D6:J6" si="1">(D4-D5)/D5</f>
        <v>2.005573995373737E-2</v>
      </c>
      <c r="E6" s="6">
        <f t="shared" si="1"/>
        <v>5.45022182848139E-2</v>
      </c>
      <c r="F6" s="6">
        <f t="shared" si="1"/>
        <v>1.3381625441147673E-2</v>
      </c>
      <c r="G6" s="6">
        <f t="shared" si="1"/>
        <v>-1.1349230412930287E-2</v>
      </c>
      <c r="H6" s="6">
        <f t="shared" si="1"/>
        <v>4.2232611207162041E-2</v>
      </c>
      <c r="I6" s="6">
        <f t="shared" si="1"/>
        <v>3.666746203838317E-2</v>
      </c>
      <c r="J6" s="6">
        <f t="shared" si="1"/>
        <v>2.6243226238107927E-2</v>
      </c>
      <c r="K6" s="6"/>
      <c r="P6" s="4" t="s">
        <v>8</v>
      </c>
    </row>
    <row r="8" spans="1:24" x14ac:dyDescent="0.25">
      <c r="D8" s="62" t="s">
        <v>9</v>
      </c>
      <c r="E8" s="63"/>
      <c r="F8" s="62" t="s">
        <v>10</v>
      </c>
      <c r="G8" s="64"/>
      <c r="H8" s="63"/>
      <c r="I8" s="62" t="s">
        <v>11</v>
      </c>
      <c r="J8" s="63"/>
      <c r="K8" s="46"/>
      <c r="L8" s="62" t="s">
        <v>12</v>
      </c>
      <c r="M8" s="63"/>
      <c r="N8" s="62" t="s">
        <v>13</v>
      </c>
      <c r="O8" s="63"/>
      <c r="P8" s="62" t="s">
        <v>4</v>
      </c>
      <c r="Q8" s="63"/>
      <c r="R8" s="62" t="s">
        <v>14</v>
      </c>
      <c r="S8" s="63"/>
      <c r="U8" s="7" t="s">
        <v>15</v>
      </c>
    </row>
    <row r="9" spans="1:24" x14ac:dyDescent="0.25">
      <c r="H9" s="8"/>
    </row>
    <row r="10" spans="1:24" x14ac:dyDescent="0.25">
      <c r="B10" s="9" t="s">
        <v>16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21</v>
      </c>
      <c r="H10" s="10" t="s">
        <v>9</v>
      </c>
      <c r="I10" s="9" t="s">
        <v>22</v>
      </c>
      <c r="J10" s="9" t="s">
        <v>23</v>
      </c>
      <c r="K10" s="9" t="s">
        <v>128</v>
      </c>
      <c r="L10" s="9" t="s">
        <v>24</v>
      </c>
      <c r="M10" s="9" t="s">
        <v>25</v>
      </c>
      <c r="N10" s="9" t="s">
        <v>26</v>
      </c>
      <c r="O10" s="9" t="s">
        <v>27</v>
      </c>
      <c r="P10" s="9" t="s">
        <v>28</v>
      </c>
      <c r="Q10" s="9" t="s">
        <v>29</v>
      </c>
      <c r="R10" s="9" t="s">
        <v>30</v>
      </c>
      <c r="S10" s="9" t="s">
        <v>31</v>
      </c>
    </row>
    <row r="11" spans="1:24" x14ac:dyDescent="0.25">
      <c r="B11" s="11" t="s">
        <v>32</v>
      </c>
      <c r="C11" s="11" t="s">
        <v>33</v>
      </c>
      <c r="D11" s="12" t="s">
        <v>34</v>
      </c>
      <c r="E11" s="11" t="s">
        <v>35</v>
      </c>
      <c r="F11" s="11" t="s">
        <v>36</v>
      </c>
      <c r="G11" s="11" t="s">
        <v>35</v>
      </c>
      <c r="H11" s="13" t="s">
        <v>37</v>
      </c>
      <c r="I11" s="11" t="s">
        <v>36</v>
      </c>
      <c r="J11" s="11" t="s">
        <v>35</v>
      </c>
      <c r="K11" s="11" t="s">
        <v>35</v>
      </c>
      <c r="L11" s="11" t="s">
        <v>36</v>
      </c>
      <c r="M11" s="11" t="s">
        <v>35</v>
      </c>
      <c r="N11" s="11" t="s">
        <v>36</v>
      </c>
      <c r="O11" s="11" t="s">
        <v>35</v>
      </c>
      <c r="P11" s="11" t="s">
        <v>36</v>
      </c>
      <c r="Q11" s="11" t="s">
        <v>35</v>
      </c>
      <c r="R11" s="11" t="s">
        <v>36</v>
      </c>
      <c r="S11" s="11" t="s">
        <v>35</v>
      </c>
    </row>
    <row r="13" spans="1:24" x14ac:dyDescent="0.25">
      <c r="A13" t="s">
        <v>38</v>
      </c>
      <c r="D13" s="3">
        <v>537636265.5702002</v>
      </c>
      <c r="E13" s="3">
        <v>48516765.986999996</v>
      </c>
      <c r="F13" s="3">
        <v>744887384.4900012</v>
      </c>
      <c r="G13" s="3">
        <v>822921617.29620183</v>
      </c>
      <c r="H13" s="3">
        <v>331962597.66239995</v>
      </c>
      <c r="I13" s="3">
        <v>106353283.00019997</v>
      </c>
      <c r="J13" s="3">
        <v>96584199.401400015</v>
      </c>
      <c r="K13" s="3">
        <v>919505816.6976018</v>
      </c>
      <c r="L13" s="3">
        <v>123050968.45739996</v>
      </c>
      <c r="M13" s="3">
        <v>97407132.698400006</v>
      </c>
      <c r="N13" s="3">
        <v>49303902.475799978</v>
      </c>
      <c r="O13" s="3">
        <v>12766384.066200117</v>
      </c>
      <c r="P13" s="3">
        <v>0</v>
      </c>
      <c r="Q13" s="3">
        <v>0</v>
      </c>
      <c r="R13" s="3">
        <v>128975097.54119995</v>
      </c>
      <c r="S13" s="3">
        <v>407646.6516000001</v>
      </c>
      <c r="T13" s="3"/>
      <c r="U13" s="3">
        <f>SUM(D13:T13)</f>
        <v>4020279061.995605</v>
      </c>
    </row>
    <row r="15" spans="1:24" x14ac:dyDescent="0.25">
      <c r="A15" s="2" t="s">
        <v>39</v>
      </c>
      <c r="D15" s="14">
        <v>4564.9192400000002</v>
      </c>
      <c r="E15" s="14">
        <v>760.40664500000003</v>
      </c>
      <c r="F15" s="14">
        <v>10456.515372</v>
      </c>
      <c r="G15" s="14">
        <v>10995.18325</v>
      </c>
      <c r="H15" s="14">
        <v>611.089879</v>
      </c>
      <c r="I15" s="14">
        <v>2513.57375</v>
      </c>
      <c r="J15" s="14">
        <v>2556.7600000000002</v>
      </c>
      <c r="K15" s="14">
        <v>13551.94325</v>
      </c>
      <c r="P15" s="14">
        <v>0</v>
      </c>
    </row>
    <row r="16" spans="1:24" x14ac:dyDescent="0.25">
      <c r="W16" t="s">
        <v>40</v>
      </c>
      <c r="X16" s="9" t="s">
        <v>41</v>
      </c>
    </row>
    <row r="18" spans="1:25" x14ac:dyDescent="0.25">
      <c r="A18" t="s">
        <v>42</v>
      </c>
      <c r="B18" s="9" t="s">
        <v>43</v>
      </c>
      <c r="C18" s="15">
        <v>0.14050000000000001</v>
      </c>
      <c r="D18" s="3">
        <f>D13*C18</f>
        <v>75537895.31261313</v>
      </c>
      <c r="E18" s="3">
        <f>E13*C18</f>
        <v>6816605.6211735001</v>
      </c>
      <c r="F18" s="3"/>
      <c r="G18" s="3"/>
      <c r="H18" s="3"/>
      <c r="I18" s="3"/>
      <c r="J18" s="3"/>
      <c r="K18" s="3"/>
      <c r="L18" s="3">
        <f>L13*C18</f>
        <v>17288661.068264697</v>
      </c>
      <c r="M18" s="3">
        <f>M13*C18</f>
        <v>13685702.144125203</v>
      </c>
      <c r="N18" s="3"/>
      <c r="O18" s="3"/>
      <c r="P18" s="3"/>
      <c r="Q18" s="3"/>
      <c r="R18" s="3"/>
      <c r="S18" s="3"/>
      <c r="T18" s="3"/>
      <c r="U18" s="16">
        <f>SUM(D18:T18)</f>
        <v>113328864.14617653</v>
      </c>
      <c r="W18" s="3">
        <v>121286213.572032</v>
      </c>
      <c r="X18" s="16">
        <f>U18-W18</f>
        <v>-7957349.4258554727</v>
      </c>
    </row>
    <row r="19" spans="1:25" x14ac:dyDescent="0.25">
      <c r="A19" t="s">
        <v>44</v>
      </c>
      <c r="B19" s="9" t="s">
        <v>43</v>
      </c>
      <c r="C19" s="15">
        <v>0.14050000000000001</v>
      </c>
      <c r="D19" s="3"/>
      <c r="E19" s="3"/>
      <c r="F19" s="3">
        <f>F13*C19</f>
        <v>104656677.52084517</v>
      </c>
      <c r="G19" s="3">
        <f>G13*C19</f>
        <v>115620487.23011637</v>
      </c>
      <c r="H19" s="3">
        <f>H$13*$C19</f>
        <v>46640744.971567199</v>
      </c>
      <c r="I19" s="3">
        <f>I13*C19</f>
        <v>14942636.261528097</v>
      </c>
      <c r="J19" s="3">
        <f>J13*C19</f>
        <v>13570080.015896704</v>
      </c>
      <c r="K19" s="3">
        <f t="shared" ref="K19:K33" si="2">G19+J19</f>
        <v>129190567.24601308</v>
      </c>
      <c r="L19" s="3"/>
      <c r="M19" s="3"/>
      <c r="N19" s="3"/>
      <c r="O19" s="3"/>
      <c r="P19" s="3"/>
      <c r="Q19" s="3"/>
      <c r="R19" s="3"/>
      <c r="S19" s="3"/>
      <c r="T19" s="3"/>
      <c r="U19" s="16">
        <f>SUM(D19:T19)</f>
        <v>424621193.24596655</v>
      </c>
      <c r="W19" s="3">
        <v>296992944.16567194</v>
      </c>
      <c r="X19" s="16">
        <f t="shared" ref="X19:X33" si="3">U19-W19</f>
        <v>127628249.08029461</v>
      </c>
      <c r="Y19" t="s">
        <v>45</v>
      </c>
    </row>
    <row r="20" spans="1:25" x14ac:dyDescent="0.25">
      <c r="A20" t="s">
        <v>46</v>
      </c>
      <c r="B20" s="9" t="s">
        <v>43</v>
      </c>
      <c r="C20" s="15">
        <v>1.4410016881386578E-2</v>
      </c>
      <c r="D20" s="3">
        <f t="shared" ref="D20:M20" si="4">D13*$C20</f>
        <v>7747347.6629122226</v>
      </c>
      <c r="E20" s="3">
        <f t="shared" si="4"/>
        <v>699127.41690295213</v>
      </c>
      <c r="F20" s="3">
        <f t="shared" si="4"/>
        <v>10733839.785232812</v>
      </c>
      <c r="G20" s="3">
        <f t="shared" si="4"/>
        <v>11858314.397296213</v>
      </c>
      <c r="H20" s="3">
        <f t="shared" si="4"/>
        <v>4783586.6363041233</v>
      </c>
      <c r="I20" s="3">
        <f t="shared" si="4"/>
        <v>1532552.6034237659</v>
      </c>
      <c r="J20" s="3">
        <f t="shared" si="4"/>
        <v>1391779.9438493815</v>
      </c>
      <c r="K20" s="3">
        <f t="shared" si="2"/>
        <v>13250094.341145594</v>
      </c>
      <c r="L20" s="3">
        <f t="shared" si="4"/>
        <v>1773166.5327421008</v>
      </c>
      <c r="M20" s="3">
        <f t="shared" si="4"/>
        <v>1403638.4265514065</v>
      </c>
      <c r="N20" s="3"/>
      <c r="O20" s="3"/>
      <c r="P20" s="3"/>
      <c r="Q20" s="3"/>
      <c r="R20" s="3"/>
      <c r="S20" s="3"/>
      <c r="T20" s="3"/>
      <c r="U20" s="16">
        <f t="shared" ref="U20:U33" si="5">SUM(D20:T20)</f>
        <v>55173447.746360578</v>
      </c>
      <c r="W20" s="3">
        <v>41828508.462600008</v>
      </c>
      <c r="X20" s="16">
        <f t="shared" si="3"/>
        <v>13344939.28376057</v>
      </c>
    </row>
    <row r="21" spans="1:25" x14ac:dyDescent="0.25">
      <c r="A21" t="s">
        <v>47</v>
      </c>
      <c r="B21" s="9" t="s">
        <v>43</v>
      </c>
      <c r="C21" s="15">
        <v>2.2218096293209828E-3</v>
      </c>
      <c r="D21" s="3">
        <f t="shared" ref="D21:J21" si="6">D13*$C21</f>
        <v>1194525.4319160441</v>
      </c>
      <c r="E21" s="3">
        <f t="shared" si="6"/>
        <v>107795.01785342932</v>
      </c>
      <c r="F21" s="3">
        <f t="shared" si="6"/>
        <v>1654997.9636196061</v>
      </c>
      <c r="G21" s="3">
        <f t="shared" si="6"/>
        <v>1828375.1734850979</v>
      </c>
      <c r="H21" s="3">
        <f t="shared" si="6"/>
        <v>737557.69606072735</v>
      </c>
      <c r="I21" s="3">
        <f t="shared" si="6"/>
        <v>236296.74827974389</v>
      </c>
      <c r="J21" s="3">
        <f t="shared" si="6"/>
        <v>214591.70427028846</v>
      </c>
      <c r="K21" s="3">
        <f t="shared" si="2"/>
        <v>2042966.8777553863</v>
      </c>
      <c r="L21" s="3"/>
      <c r="M21" s="3"/>
      <c r="N21" s="3"/>
      <c r="O21" s="3"/>
      <c r="P21" s="3"/>
      <c r="Q21" s="3"/>
      <c r="R21" s="3"/>
      <c r="S21" s="3"/>
      <c r="T21" s="3"/>
      <c r="U21" s="16">
        <f t="shared" si="5"/>
        <v>8017106.613240324</v>
      </c>
      <c r="W21" s="3">
        <v>6040491.3718920015</v>
      </c>
      <c r="X21" s="16">
        <f t="shared" si="3"/>
        <v>1976615.2413483225</v>
      </c>
    </row>
    <row r="22" spans="1:25" x14ac:dyDescent="0.25">
      <c r="A22" t="s">
        <v>48</v>
      </c>
      <c r="B22" s="9" t="s">
        <v>43</v>
      </c>
      <c r="C22" s="15">
        <v>3.1834119741583978E-3</v>
      </c>
      <c r="D22" s="3">
        <f t="shared" ref="D22:J22" si="7">D13*$C22</f>
        <v>1711517.7255579797</v>
      </c>
      <c r="E22" s="3">
        <f t="shared" si="7"/>
        <v>154448.85379045666</v>
      </c>
      <c r="F22" s="3">
        <f t="shared" si="7"/>
        <v>2371283.419185</v>
      </c>
      <c r="G22" s="3">
        <f t="shared" si="7"/>
        <v>2619698.5302945231</v>
      </c>
      <c r="H22" s="3">
        <f t="shared" si="7"/>
        <v>1056773.7083712106</v>
      </c>
      <c r="I22" s="3">
        <f t="shared" si="7"/>
        <v>338566.31459389336</v>
      </c>
      <c r="J22" s="3">
        <f t="shared" si="7"/>
        <v>307467.29688891914</v>
      </c>
      <c r="K22" s="3">
        <f t="shared" si="2"/>
        <v>2927165.8271834422</v>
      </c>
      <c r="L22" s="3"/>
      <c r="M22" s="3"/>
      <c r="N22" s="3"/>
      <c r="O22" s="3"/>
      <c r="P22" s="3"/>
      <c r="Q22" s="3"/>
      <c r="R22" s="3"/>
      <c r="S22" s="3"/>
      <c r="T22" s="3"/>
      <c r="U22" s="16">
        <f t="shared" si="5"/>
        <v>11486921.675865425</v>
      </c>
      <c r="W22" s="3">
        <v>8595218.2097250018</v>
      </c>
      <c r="X22" s="16">
        <f t="shared" si="3"/>
        <v>2891703.466140423</v>
      </c>
    </row>
    <row r="23" spans="1:25" x14ac:dyDescent="0.25">
      <c r="A23" t="s">
        <v>49</v>
      </c>
      <c r="B23" s="9" t="s">
        <v>43</v>
      </c>
      <c r="C23" s="15">
        <v>3.8720991093939858E-4</v>
      </c>
      <c r="D23" s="3">
        <f t="shared" ref="D23:M23" si="8">D13*$C23</f>
        <v>208178.09050922806</v>
      </c>
      <c r="E23" s="3">
        <f t="shared" si="8"/>
        <v>18786.172636893909</v>
      </c>
      <c r="F23" s="3">
        <f t="shared" si="8"/>
        <v>288427.77780825493</v>
      </c>
      <c r="G23" s="3">
        <f t="shared" si="8"/>
        <v>318643.40614336816</v>
      </c>
      <c r="H23" s="3">
        <f t="shared" si="8"/>
        <v>128539.20787606928</v>
      </c>
      <c r="I23" s="3">
        <f t="shared" si="8"/>
        <v>41181.045238620085</v>
      </c>
      <c r="J23" s="3">
        <f t="shared" si="8"/>
        <v>37398.359248369212</v>
      </c>
      <c r="K23" s="3">
        <f t="shared" si="2"/>
        <v>356041.7653917374</v>
      </c>
      <c r="L23" s="3">
        <f t="shared" si="8"/>
        <v>47646.554537396587</v>
      </c>
      <c r="M23" s="3">
        <f t="shared" si="8"/>
        <v>37717.007177009647</v>
      </c>
      <c r="N23" s="3"/>
      <c r="O23" s="3"/>
      <c r="P23" s="3"/>
      <c r="Q23" s="3"/>
      <c r="R23" s="3"/>
      <c r="S23" s="3"/>
      <c r="T23" s="3"/>
      <c r="U23" s="16">
        <f t="shared" si="5"/>
        <v>1482559.3865669474</v>
      </c>
      <c r="W23" s="3">
        <v>1117529.07</v>
      </c>
      <c r="X23" s="16">
        <f t="shared" si="3"/>
        <v>365030.31656694738</v>
      </c>
    </row>
    <row r="24" spans="1:25" x14ac:dyDescent="0.25">
      <c r="A24" t="s">
        <v>50</v>
      </c>
      <c r="B24" s="9" t="s">
        <v>43</v>
      </c>
      <c r="C24" s="15">
        <v>1.7286955187486165E-3</v>
      </c>
      <c r="D24" s="3">
        <f>D13*$C24</f>
        <v>929409.40300794621</v>
      </c>
      <c r="E24" s="3"/>
      <c r="F24" s="3">
        <f>F13*$C24</f>
        <v>1287683.4835402428</v>
      </c>
      <c r="G24" s="3"/>
      <c r="H24" s="3">
        <f>H13*$C24</f>
        <v>573862.25497114076</v>
      </c>
      <c r="I24" s="3">
        <f>I13*$C24</f>
        <v>183852.4437266491</v>
      </c>
      <c r="J24" s="3"/>
      <c r="K24" s="3">
        <f t="shared" si="2"/>
        <v>0</v>
      </c>
      <c r="L24" s="3">
        <f>L13*$C24</f>
        <v>212717.65774998468</v>
      </c>
      <c r="M24" s="3"/>
      <c r="N24" s="3">
        <f>N13*$C24</f>
        <v>85231.435266734232</v>
      </c>
      <c r="O24" s="3"/>
      <c r="P24" s="3"/>
      <c r="Q24" s="3"/>
      <c r="R24" s="3">
        <f>R13*$C24</f>
        <v>222958.67314963805</v>
      </c>
      <c r="S24" s="3"/>
      <c r="T24" s="3"/>
      <c r="U24" s="16">
        <f t="shared" si="5"/>
        <v>3495715.3514123354</v>
      </c>
      <c r="W24" s="3">
        <v>8538511.3399999999</v>
      </c>
      <c r="X24" s="16">
        <f t="shared" si="3"/>
        <v>-5042795.9885876644</v>
      </c>
    </row>
    <row r="25" spans="1:25" x14ac:dyDescent="0.25">
      <c r="A25" t="s">
        <v>51</v>
      </c>
      <c r="B25" s="9" t="s">
        <v>43</v>
      </c>
      <c r="C25" s="15">
        <v>4.6572359951644396E-3</v>
      </c>
      <c r="D25" s="3"/>
      <c r="E25" s="3">
        <f>E13*$C25</f>
        <v>225954.02892362617</v>
      </c>
      <c r="F25" s="3"/>
      <c r="G25" s="3">
        <f>G13*$C25</f>
        <v>3832540.1772708064</v>
      </c>
      <c r="H25" s="3"/>
      <c r="I25" s="3"/>
      <c r="J25" s="3">
        <f>J13*$C25</f>
        <v>449815.41001633985</v>
      </c>
      <c r="K25" s="3">
        <f t="shared" si="2"/>
        <v>4282355.5872871466</v>
      </c>
      <c r="L25" s="3"/>
      <c r="M25" s="3">
        <f>M13*$C25</f>
        <v>453648.00458874757</v>
      </c>
      <c r="N25" s="3"/>
      <c r="O25" s="3">
        <f>O13*$C25</f>
        <v>59456.063401200947</v>
      </c>
      <c r="P25" s="3"/>
      <c r="Q25" s="3"/>
      <c r="R25" s="3"/>
      <c r="S25" s="3">
        <f>S13*$C25</f>
        <v>1898.5066591397781</v>
      </c>
      <c r="T25" s="3"/>
      <c r="U25" s="16">
        <f t="shared" si="5"/>
        <v>9305667.7781470083</v>
      </c>
      <c r="W25" s="3"/>
      <c r="X25" s="16">
        <f t="shared" si="3"/>
        <v>9305667.7781470083</v>
      </c>
    </row>
    <row r="26" spans="1:25" x14ac:dyDescent="0.25">
      <c r="A26" t="s">
        <v>52</v>
      </c>
      <c r="B26" s="9" t="s">
        <v>43</v>
      </c>
      <c r="C26" s="15">
        <v>2.2717405902607283E-3</v>
      </c>
      <c r="D26" s="3">
        <f t="shared" ref="D26:O26" si="9">D13*$C26</f>
        <v>1221370.1272920202</v>
      </c>
      <c r="E26" s="3">
        <f t="shared" si="9"/>
        <v>110217.506600849</v>
      </c>
      <c r="F26" s="3">
        <f t="shared" si="9"/>
        <v>1692190.9065190854</v>
      </c>
      <c r="G26" s="3">
        <f t="shared" si="9"/>
        <v>1869464.4406147867</v>
      </c>
      <c r="H26" s="3">
        <f t="shared" si="9"/>
        <v>754132.90755806514</v>
      </c>
      <c r="I26" s="3">
        <f t="shared" si="9"/>
        <v>241607.06989904057</v>
      </c>
      <c r="J26" s="3">
        <f t="shared" si="9"/>
        <v>219414.24615799636</v>
      </c>
      <c r="K26" s="3">
        <f t="shared" si="2"/>
        <v>2088878.6867727831</v>
      </c>
      <c r="L26" s="3">
        <f t="shared" si="9"/>
        <v>279539.87971556804</v>
      </c>
      <c r="M26" s="3">
        <f t="shared" si="9"/>
        <v>221283.73713186831</v>
      </c>
      <c r="N26" s="3">
        <f t="shared" si="9"/>
        <v>112005.67651253122</v>
      </c>
      <c r="O26" s="3">
        <f t="shared" si="9"/>
        <v>29001.91287404461</v>
      </c>
      <c r="P26" s="3"/>
      <c r="Q26" s="3"/>
      <c r="R26" s="3">
        <f>R13*$C26</f>
        <v>292997.96421718056</v>
      </c>
      <c r="S26" s="3">
        <f>S13*$C26</f>
        <v>926.06744492359371</v>
      </c>
      <c r="T26" s="3"/>
      <c r="U26" s="16">
        <f t="shared" si="5"/>
        <v>9133031.1293107439</v>
      </c>
      <c r="W26" s="3">
        <v>7186756.4103599992</v>
      </c>
      <c r="X26" s="16">
        <f t="shared" si="3"/>
        <v>1946274.7189507447</v>
      </c>
      <c r="Y26" t="s">
        <v>53</v>
      </c>
    </row>
    <row r="27" spans="1:25" x14ac:dyDescent="0.25">
      <c r="A27" t="s">
        <v>54</v>
      </c>
      <c r="B27" s="9" t="s">
        <v>43</v>
      </c>
      <c r="C27" s="15">
        <v>0.10928623049281858</v>
      </c>
      <c r="D27" s="3"/>
      <c r="E27" s="3"/>
      <c r="F27" s="3"/>
      <c r="G27" s="3"/>
      <c r="H27" s="3"/>
      <c r="I27" s="3"/>
      <c r="J27" s="3"/>
      <c r="K27" s="3">
        <f t="shared" si="2"/>
        <v>0</v>
      </c>
      <c r="L27" s="3"/>
      <c r="M27" s="3"/>
      <c r="N27" s="3"/>
      <c r="O27" s="3"/>
      <c r="P27" s="3"/>
      <c r="Q27" s="3"/>
      <c r="R27" s="3">
        <f>R13*$C27</f>
        <v>14095202.237721337</v>
      </c>
      <c r="S27" s="3">
        <f>S13*$C27</f>
        <v>44550.165926383321</v>
      </c>
      <c r="T27" s="3"/>
      <c r="U27" s="16">
        <f t="shared" si="5"/>
        <v>14139752.403647721</v>
      </c>
      <c r="W27" s="3">
        <v>14064458.702652</v>
      </c>
      <c r="X27" s="16">
        <f t="shared" si="3"/>
        <v>75293.700995720923</v>
      </c>
    </row>
    <row r="28" spans="1:25" x14ac:dyDescent="0.25">
      <c r="A28" t="s">
        <v>55</v>
      </c>
      <c r="B28" s="9" t="s">
        <v>56</v>
      </c>
      <c r="C28" s="17">
        <v>10291.06904480497</v>
      </c>
      <c r="D28" s="3">
        <f t="shared" ref="D28:J33" si="10">D$15*$C28</f>
        <v>46977899.08279863</v>
      </c>
      <c r="E28" s="3">
        <f t="shared" si="10"/>
        <v>7825397.2858235026</v>
      </c>
      <c r="F28" s="3">
        <f t="shared" si="10"/>
        <v>107608721.66131653</v>
      </c>
      <c r="G28" s="3">
        <f t="shared" si="10"/>
        <v>113152189.98603311</v>
      </c>
      <c r="H28" s="3">
        <f t="shared" si="10"/>
        <v>6288768.1373705147</v>
      </c>
      <c r="I28" s="3">
        <f t="shared" si="10"/>
        <v>25867361.010459345</v>
      </c>
      <c r="J28" s="3">
        <f t="shared" si="10"/>
        <v>26311793.690995559</v>
      </c>
      <c r="K28" s="3">
        <f t="shared" si="2"/>
        <v>139463983.67702866</v>
      </c>
      <c r="L28" s="3"/>
      <c r="M28" s="3"/>
      <c r="N28" s="3"/>
      <c r="O28" s="3"/>
      <c r="P28" s="3">
        <f t="shared" ref="P28:P33" si="11">P$15*$C28</f>
        <v>0</v>
      </c>
      <c r="Q28" s="3"/>
      <c r="R28" s="3"/>
      <c r="S28" s="3"/>
      <c r="T28" s="3"/>
      <c r="U28" s="16">
        <f t="shared" si="5"/>
        <v>473496114.5318259</v>
      </c>
      <c r="W28" s="3">
        <v>337177752.57967502</v>
      </c>
      <c r="X28" s="16">
        <f t="shared" si="3"/>
        <v>136318361.95215088</v>
      </c>
    </row>
    <row r="29" spans="1:25" x14ac:dyDescent="0.25">
      <c r="A29" t="s">
        <v>57</v>
      </c>
      <c r="B29" s="9" t="s">
        <v>56</v>
      </c>
      <c r="C29" s="17">
        <v>4.651528417308274</v>
      </c>
      <c r="D29" s="3">
        <f t="shared" si="10"/>
        <v>21233.851567577291</v>
      </c>
      <c r="E29" s="3">
        <f t="shared" si="10"/>
        <v>3537.0531179275449</v>
      </c>
      <c r="F29" s="3">
        <f t="shared" si="10"/>
        <v>48638.7783988788</v>
      </c>
      <c r="G29" s="3">
        <f t="shared" si="10"/>
        <v>51144.407340886944</v>
      </c>
      <c r="H29" s="3">
        <f t="shared" si="10"/>
        <v>2842.5019376979749</v>
      </c>
      <c r="I29" s="3">
        <f t="shared" si="10"/>
        <v>11691.959727125124</v>
      </c>
      <c r="J29" s="3">
        <f t="shared" si="10"/>
        <v>11892.841796237104</v>
      </c>
      <c r="K29" s="3">
        <f t="shared" si="2"/>
        <v>63037.249137124047</v>
      </c>
      <c r="L29" s="3"/>
      <c r="M29" s="3"/>
      <c r="N29" s="3"/>
      <c r="O29" s="3"/>
      <c r="P29" s="3">
        <f t="shared" si="11"/>
        <v>0</v>
      </c>
      <c r="Q29" s="3"/>
      <c r="R29" s="3"/>
      <c r="S29" s="3"/>
      <c r="T29" s="3"/>
      <c r="U29" s="16">
        <f t="shared" si="5"/>
        <v>214018.64302345482</v>
      </c>
      <c r="W29" s="3">
        <v>149191.73324999999</v>
      </c>
      <c r="X29" s="16">
        <f t="shared" si="3"/>
        <v>64826.909773454827</v>
      </c>
    </row>
    <row r="30" spans="1:25" x14ac:dyDescent="0.25">
      <c r="A30" t="s">
        <v>58</v>
      </c>
      <c r="B30" s="9" t="s">
        <v>56</v>
      </c>
      <c r="C30" s="17">
        <v>29.818843216526346</v>
      </c>
      <c r="D30" s="3">
        <f t="shared" si="10"/>
        <v>136120.61111366461</v>
      </c>
      <c r="E30" s="3">
        <f t="shared" si="10"/>
        <v>22674.446528059809</v>
      </c>
      <c r="F30" s="3">
        <f t="shared" si="10"/>
        <v>311801.19246886566</v>
      </c>
      <c r="G30" s="3">
        <f t="shared" si="10"/>
        <v>327863.64546872658</v>
      </c>
      <c r="H30" s="3">
        <f t="shared" si="10"/>
        <v>18221.993293107054</v>
      </c>
      <c r="I30" s="3">
        <f t="shared" si="10"/>
        <v>74951.861564426188</v>
      </c>
      <c r="J30" s="3">
        <f t="shared" si="10"/>
        <v>76239.625582285909</v>
      </c>
      <c r="K30" s="3">
        <f t="shared" si="2"/>
        <v>404103.2710510125</v>
      </c>
      <c r="L30" s="3"/>
      <c r="M30" s="3"/>
      <c r="N30" s="3"/>
      <c r="O30" s="3"/>
      <c r="P30" s="3">
        <f t="shared" si="11"/>
        <v>0</v>
      </c>
      <c r="Q30" s="3"/>
      <c r="R30" s="3"/>
      <c r="S30" s="3"/>
      <c r="T30" s="3"/>
      <c r="U30" s="16">
        <f t="shared" si="5"/>
        <v>1371976.6470701483</v>
      </c>
      <c r="W30" s="3">
        <v>949466.90445799998</v>
      </c>
      <c r="X30" s="16">
        <f t="shared" si="3"/>
        <v>422509.74261214829</v>
      </c>
    </row>
    <row r="31" spans="1:25" x14ac:dyDescent="0.25">
      <c r="A31" t="s">
        <v>59</v>
      </c>
      <c r="B31" s="9" t="s">
        <v>56</v>
      </c>
      <c r="C31" s="17">
        <v>380.05349267774648</v>
      </c>
      <c r="D31" s="3">
        <f t="shared" si="10"/>
        <v>1734913.500953844</v>
      </c>
      <c r="E31" s="3">
        <f t="shared" si="10"/>
        <v>288995.20128761727</v>
      </c>
      <c r="F31" s="3">
        <f t="shared" si="10"/>
        <v>3974035.1883671456</v>
      </c>
      <c r="G31" s="3">
        <f t="shared" si="10"/>
        <v>4178757.7967943558</v>
      </c>
      <c r="H31" s="3">
        <f t="shared" si="10"/>
        <v>232246.84285397147</v>
      </c>
      <c r="I31" s="3">
        <f t="shared" si="10"/>
        <v>955292.48279060074</v>
      </c>
      <c r="J31" s="3">
        <f t="shared" si="10"/>
        <v>971705.56793875515</v>
      </c>
      <c r="K31" s="3">
        <f t="shared" si="2"/>
        <v>5150463.3647331111</v>
      </c>
      <c r="L31" s="3"/>
      <c r="M31" s="3"/>
      <c r="N31" s="3"/>
      <c r="O31" s="3"/>
      <c r="P31" s="3">
        <f t="shared" si="11"/>
        <v>0</v>
      </c>
      <c r="Q31" s="3"/>
      <c r="R31" s="3"/>
      <c r="S31" s="3"/>
      <c r="T31" s="3"/>
      <c r="U31" s="16">
        <f t="shared" si="5"/>
        <v>17486409.945719399</v>
      </c>
      <c r="W31" s="3">
        <v>12337466.794956999</v>
      </c>
      <c r="X31" s="16">
        <f t="shared" si="3"/>
        <v>5148943.1507623997</v>
      </c>
    </row>
    <row r="32" spans="1:25" x14ac:dyDescent="0.25">
      <c r="A32" t="s">
        <v>60</v>
      </c>
      <c r="B32" s="9" t="s">
        <v>56</v>
      </c>
      <c r="C32" s="17">
        <v>946.53819114586793</v>
      </c>
      <c r="D32" s="3">
        <f t="shared" si="10"/>
        <v>4320870.4001565706</v>
      </c>
      <c r="E32" s="3">
        <f t="shared" si="10"/>
        <v>719753.93029359821</v>
      </c>
      <c r="F32" s="3">
        <f t="shared" si="10"/>
        <v>9897491.145901842</v>
      </c>
      <c r="G32" s="3">
        <f t="shared" si="10"/>
        <v>10407360.864772346</v>
      </c>
      <c r="H32" s="3">
        <f t="shared" si="10"/>
        <v>578419.90869620733</v>
      </c>
      <c r="I32" s="3">
        <f t="shared" si="10"/>
        <v>2379193.5506367362</v>
      </c>
      <c r="J32" s="3">
        <f t="shared" si="10"/>
        <v>2420070.9855941096</v>
      </c>
      <c r="K32" s="3">
        <f t="shared" si="2"/>
        <v>12827431.850366455</v>
      </c>
      <c r="L32" s="3"/>
      <c r="M32" s="3"/>
      <c r="N32" s="3"/>
      <c r="O32" s="3"/>
      <c r="P32" s="3">
        <f t="shared" si="11"/>
        <v>0</v>
      </c>
      <c r="Q32" s="3"/>
      <c r="R32" s="3"/>
      <c r="S32" s="3"/>
      <c r="T32" s="3"/>
      <c r="U32" s="16">
        <f t="shared" si="5"/>
        <v>43550592.636417866</v>
      </c>
      <c r="W32" s="3">
        <v>30726946.938815992</v>
      </c>
      <c r="X32" s="16">
        <f t="shared" si="3"/>
        <v>12823645.697601873</v>
      </c>
    </row>
    <row r="33" spans="1:24" x14ac:dyDescent="0.25">
      <c r="A33" t="s">
        <v>61</v>
      </c>
      <c r="B33" s="9" t="s">
        <v>56</v>
      </c>
      <c r="C33" s="17">
        <v>331.67243306569344</v>
      </c>
      <c r="D33" s="3">
        <f t="shared" si="10"/>
        <v>1514057.8710791962</v>
      </c>
      <c r="E33" s="3">
        <f t="shared" si="10"/>
        <v>252205.92206647102</v>
      </c>
      <c r="F33" s="3">
        <f t="shared" si="10"/>
        <v>3468137.8948200643</v>
      </c>
      <c r="G33" s="3">
        <f t="shared" si="10"/>
        <v>3646799.1805306585</v>
      </c>
      <c r="H33" s="3">
        <f t="shared" si="10"/>
        <v>202681.6669897502</v>
      </c>
      <c r="I33" s="3">
        <f t="shared" si="10"/>
        <v>833683.12135255907</v>
      </c>
      <c r="J33" s="3">
        <f t="shared" si="10"/>
        <v>848006.8099650424</v>
      </c>
      <c r="K33" s="3">
        <f t="shared" si="2"/>
        <v>4494805.9904957004</v>
      </c>
      <c r="L33" s="3"/>
      <c r="M33" s="3"/>
      <c r="N33" s="3"/>
      <c r="O33" s="3"/>
      <c r="P33" s="3">
        <f t="shared" si="11"/>
        <v>0</v>
      </c>
      <c r="Q33" s="3"/>
      <c r="R33" s="3"/>
      <c r="S33" s="3"/>
      <c r="T33" s="3"/>
      <c r="U33" s="16">
        <f t="shared" si="5"/>
        <v>15260378.457299441</v>
      </c>
      <c r="W33" s="3">
        <v>10766899.156536002</v>
      </c>
      <c r="X33" s="16">
        <f t="shared" si="3"/>
        <v>4493479.3007634394</v>
      </c>
    </row>
    <row r="34" spans="1:24" x14ac:dyDescent="0.2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4" x14ac:dyDescent="0.2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4" ht="13.8" thickBot="1" x14ac:dyDescent="0.3">
      <c r="A36" t="s">
        <v>62</v>
      </c>
      <c r="D36" s="18">
        <f t="shared" ref="D36:S36" si="12">SUM(D18:D35)</f>
        <v>143255339.07147804</v>
      </c>
      <c r="E36" s="18">
        <f t="shared" si="12"/>
        <v>17245498.456998885</v>
      </c>
      <c r="F36" s="18">
        <f t="shared" si="12"/>
        <v>247993926.71802348</v>
      </c>
      <c r="G36" s="18">
        <f t="shared" si="12"/>
        <v>269711639.23616123</v>
      </c>
      <c r="H36" s="18">
        <f t="shared" si="12"/>
        <v>61998378.433849774</v>
      </c>
      <c r="I36" s="18">
        <f t="shared" si="12"/>
        <v>47638866.473220609</v>
      </c>
      <c r="J36" s="18">
        <f t="shared" si="12"/>
        <v>46830256.498199984</v>
      </c>
      <c r="K36" s="18"/>
      <c r="L36" s="18">
        <f t="shared" si="12"/>
        <v>19601731.693009749</v>
      </c>
      <c r="M36" s="18">
        <f t="shared" si="12"/>
        <v>15801989.319574235</v>
      </c>
      <c r="N36" s="18">
        <f t="shared" si="12"/>
        <v>197237.11177926545</v>
      </c>
      <c r="O36" s="18">
        <f t="shared" si="12"/>
        <v>88457.976275245557</v>
      </c>
      <c r="P36" s="18">
        <f t="shared" si="12"/>
        <v>0</v>
      </c>
      <c r="Q36" s="18">
        <f t="shared" si="12"/>
        <v>0</v>
      </c>
      <c r="R36" s="18">
        <f t="shared" si="12"/>
        <v>14611158.875088155</v>
      </c>
      <c r="S36" s="18">
        <f t="shared" si="12"/>
        <v>47374.740030446694</v>
      </c>
      <c r="T36" s="3"/>
      <c r="U36" s="19">
        <f>SUM(D36:T36)</f>
        <v>885021854.60368884</v>
      </c>
      <c r="W36" s="16">
        <f>SUM(W18:W33)</f>
        <v>897758355.41262484</v>
      </c>
      <c r="X36" s="16">
        <f>U36-W36</f>
        <v>-12736500.808936</v>
      </c>
    </row>
    <row r="37" spans="1:24" ht="13.8" thickTop="1" x14ac:dyDescent="0.2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3"/>
    </row>
    <row r="38" spans="1:24" x14ac:dyDescent="0.25">
      <c r="A38" s="1" t="s">
        <v>63</v>
      </c>
      <c r="D38" s="21">
        <f t="shared" ref="D38:S38" si="13">D36/D13</f>
        <v>0.26645401035130306</v>
      </c>
      <c r="E38" s="21">
        <f t="shared" si="13"/>
        <v>0.3554544105767436</v>
      </c>
      <c r="F38" s="21">
        <f t="shared" si="13"/>
        <v>0.33292807997791024</v>
      </c>
      <c r="G38" s="21">
        <f t="shared" si="13"/>
        <v>0.32774888102019734</v>
      </c>
      <c r="H38" s="21">
        <f t="shared" si="13"/>
        <v>0.18676314401208843</v>
      </c>
      <c r="I38" s="21">
        <f t="shared" si="13"/>
        <v>0.44793038004413116</v>
      </c>
      <c r="J38" s="21">
        <f t="shared" si="13"/>
        <v>0.48486457193246835</v>
      </c>
      <c r="K38" s="21"/>
      <c r="L38" s="21">
        <f t="shared" si="13"/>
        <v>0.15929766290133535</v>
      </c>
      <c r="M38" s="21">
        <f t="shared" si="13"/>
        <v>0.16222620337775118</v>
      </c>
      <c r="N38" s="21">
        <f t="shared" si="13"/>
        <v>4.0004361090093445E-3</v>
      </c>
      <c r="O38" s="21">
        <f t="shared" si="13"/>
        <v>6.9289765854251683E-3</v>
      </c>
      <c r="P38" s="21" t="e">
        <f t="shared" si="13"/>
        <v>#DIV/0!</v>
      </c>
      <c r="Q38" s="21" t="e">
        <f t="shared" si="13"/>
        <v>#DIV/0!</v>
      </c>
      <c r="R38" s="21">
        <f t="shared" si="13"/>
        <v>0.11328666660182793</v>
      </c>
      <c r="S38" s="21">
        <f t="shared" si="13"/>
        <v>0.11621520707824375</v>
      </c>
      <c r="T38" s="3"/>
    </row>
    <row r="39" spans="1:24" x14ac:dyDescent="0.2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"/>
    </row>
    <row r="40" spans="1:24" x14ac:dyDescent="0.2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3"/>
    </row>
    <row r="41" spans="1:24" x14ac:dyDescent="0.25">
      <c r="A41" t="s">
        <v>64</v>
      </c>
      <c r="D41" s="20">
        <f>D36-D72</f>
        <v>131901186.42176099</v>
      </c>
      <c r="E41" s="22"/>
      <c r="F41" s="20">
        <f>F36-E72</f>
        <v>217348854.45404315</v>
      </c>
      <c r="G41" s="22"/>
      <c r="H41" s="22"/>
      <c r="I41" s="20">
        <f>I36-F72</f>
        <v>47332429.746977024</v>
      </c>
      <c r="J41" s="22"/>
      <c r="K41" s="22"/>
      <c r="L41" s="20">
        <f>L36-G72</f>
        <v>15959448.110433158</v>
      </c>
      <c r="M41" s="22"/>
      <c r="N41" s="20">
        <f>N36</f>
        <v>197237.11177926545</v>
      </c>
      <c r="O41" s="22"/>
      <c r="P41" s="20">
        <f>P36</f>
        <v>0</v>
      </c>
      <c r="Q41" s="22"/>
      <c r="R41" s="20">
        <f>R36-I72</f>
        <v>10090581.31053086</v>
      </c>
      <c r="S41" s="22"/>
      <c r="T41" s="3"/>
    </row>
    <row r="42" spans="1:24" x14ac:dyDescent="0.2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3"/>
    </row>
    <row r="43" spans="1:24" x14ac:dyDescent="0.25">
      <c r="A43" t="s">
        <v>65</v>
      </c>
      <c r="D43" s="20">
        <f>D13-D74</f>
        <v>494569036.47780019</v>
      </c>
      <c r="E43" s="22"/>
      <c r="F43" s="20">
        <f>F13-E74</f>
        <v>651605138.0136013</v>
      </c>
      <c r="G43" s="20">
        <f>F43+I43</f>
        <v>757262118.8196013</v>
      </c>
      <c r="H43" s="22"/>
      <c r="I43" s="20">
        <f>I13-F74</f>
        <v>105656980.80599998</v>
      </c>
      <c r="J43" s="22"/>
      <c r="K43" s="22"/>
      <c r="L43" s="20">
        <f>L13-G74</f>
        <v>100186329.28919996</v>
      </c>
      <c r="M43" s="22"/>
      <c r="N43" s="20">
        <f>N13</f>
        <v>49303902.475799978</v>
      </c>
      <c r="O43" s="22"/>
      <c r="P43" s="20">
        <f>P13</f>
        <v>0</v>
      </c>
      <c r="Q43" s="22"/>
      <c r="R43" s="20">
        <f>R13-I74</f>
        <v>86955478.430999964</v>
      </c>
      <c r="S43" s="22"/>
      <c r="T43" s="3"/>
    </row>
    <row r="44" spans="1:24" x14ac:dyDescent="0.25">
      <c r="D44" s="22"/>
      <c r="E44" s="22"/>
      <c r="F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3"/>
    </row>
    <row r="45" spans="1:24" x14ac:dyDescent="0.2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3"/>
    </row>
    <row r="46" spans="1:24" x14ac:dyDescent="0.25">
      <c r="A46" s="1" t="s">
        <v>66</v>
      </c>
      <c r="D46" s="22"/>
      <c r="E46" s="22"/>
      <c r="F46" s="23">
        <f>(F36+I36)/(F13+I13)</f>
        <v>0.34729636926638863</v>
      </c>
      <c r="G46" s="23">
        <f>(G36+J36)/(G13+J13)</f>
        <v>0.34425219502277765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3"/>
    </row>
    <row r="47" spans="1:24" x14ac:dyDescent="0.25">
      <c r="D47" s="22"/>
      <c r="E47" s="22"/>
      <c r="F47" s="24" t="s">
        <v>36</v>
      </c>
      <c r="G47" s="24" t="s">
        <v>35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3"/>
    </row>
    <row r="48" spans="1:24" x14ac:dyDescent="0.2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3"/>
    </row>
    <row r="49" spans="1:20" x14ac:dyDescent="0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1" t="s">
        <v>67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t="s">
        <v>68</v>
      </c>
      <c r="D52" s="25">
        <v>8.0104769433148745E-2</v>
      </c>
      <c r="E52" s="25">
        <v>0.12532450017424238</v>
      </c>
      <c r="F52" s="25">
        <v>6.547068172768027E-3</v>
      </c>
      <c r="G52" s="25">
        <v>0.18581437801617706</v>
      </c>
      <c r="H52" s="25"/>
      <c r="I52" s="26">
        <f>J84</f>
        <v>0.30527125075303868</v>
      </c>
      <c r="J52" s="3" t="s">
        <v>69</v>
      </c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D53" s="11" t="s">
        <v>18</v>
      </c>
      <c r="E53" s="11" t="s">
        <v>20</v>
      </c>
      <c r="F53" s="11" t="s">
        <v>22</v>
      </c>
      <c r="G53" s="11" t="s">
        <v>24</v>
      </c>
      <c r="H53" s="49" t="s">
        <v>130</v>
      </c>
      <c r="I53" s="11" t="s">
        <v>70</v>
      </c>
    </row>
    <row r="55" spans="1:20" x14ac:dyDescent="0.25">
      <c r="A55" t="s">
        <v>42</v>
      </c>
      <c r="D55" s="16">
        <f t="shared" ref="D55:D69" si="14">D18*D$52</f>
        <v>6050945.6874822024</v>
      </c>
      <c r="E55" s="16">
        <f t="shared" ref="E55:E66" si="15">F18*E$52</f>
        <v>0</v>
      </c>
      <c r="F55" s="16">
        <f t="shared" ref="F55:F66" si="16">I18*F$52</f>
        <v>0</v>
      </c>
      <c r="G55" s="16">
        <f t="shared" ref="G55:G66" si="17">L18*G$52</f>
        <v>3212481.8031321</v>
      </c>
      <c r="H55" s="16">
        <f>E55+F55</f>
        <v>0</v>
      </c>
      <c r="I55" s="27">
        <f t="shared" ref="I55:I66" si="18">(N18+P18+R18)*I$52</f>
        <v>0</v>
      </c>
    </row>
    <row r="56" spans="1:20" x14ac:dyDescent="0.25">
      <c r="A56" t="s">
        <v>44</v>
      </c>
      <c r="D56" s="16">
        <f t="shared" si="14"/>
        <v>0</v>
      </c>
      <c r="E56" s="16">
        <f t="shared" si="15"/>
        <v>13116045.800196789</v>
      </c>
      <c r="F56" s="16">
        <f t="shared" si="16"/>
        <v>97830.458285100016</v>
      </c>
      <c r="G56" s="16">
        <f t="shared" si="17"/>
        <v>0</v>
      </c>
      <c r="H56" s="16">
        <f t="shared" ref="H56:H69" si="19">E56+F56</f>
        <v>13213876.25848189</v>
      </c>
      <c r="I56" s="27">
        <f t="shared" si="18"/>
        <v>0</v>
      </c>
    </row>
    <row r="57" spans="1:20" x14ac:dyDescent="0.25">
      <c r="A57" t="s">
        <v>46</v>
      </c>
      <c r="D57" s="16">
        <f t="shared" si="14"/>
        <v>620599.49825602735</v>
      </c>
      <c r="E57" s="16">
        <f t="shared" si="15"/>
        <v>1345213.1060346994</v>
      </c>
      <c r="F57" s="16">
        <f t="shared" si="16"/>
        <v>10033.726372968518</v>
      </c>
      <c r="G57" s="16">
        <f t="shared" si="17"/>
        <v>329479.83640057471</v>
      </c>
      <c r="H57" s="16">
        <f t="shared" si="19"/>
        <v>1355246.8324076678</v>
      </c>
      <c r="I57" s="27">
        <f t="shared" si="18"/>
        <v>0</v>
      </c>
    </row>
    <row r="58" spans="1:20" x14ac:dyDescent="0.25">
      <c r="A58" t="s">
        <v>47</v>
      </c>
      <c r="D58" s="16">
        <f t="shared" si="14"/>
        <v>95687.184305667135</v>
      </c>
      <c r="E58" s="16">
        <f t="shared" si="15"/>
        <v>207411.7925800161</v>
      </c>
      <c r="F58" s="16">
        <f t="shared" si="16"/>
        <v>1547.0509199908893</v>
      </c>
      <c r="G58" s="16">
        <f t="shared" si="17"/>
        <v>0</v>
      </c>
      <c r="H58" s="16">
        <f t="shared" si="19"/>
        <v>208958.843500007</v>
      </c>
      <c r="I58" s="27">
        <f t="shared" si="18"/>
        <v>0</v>
      </c>
    </row>
    <row r="59" spans="1:20" x14ac:dyDescent="0.25">
      <c r="A59" t="s">
        <v>48</v>
      </c>
      <c r="D59" s="16">
        <f t="shared" si="14"/>
        <v>137100.7327865691</v>
      </c>
      <c r="E59" s="16">
        <f t="shared" si="15"/>
        <v>297179.90928082861</v>
      </c>
      <c r="F59" s="16">
        <f t="shared" si="16"/>
        <v>2216.6167426490465</v>
      </c>
      <c r="G59" s="16">
        <f t="shared" si="17"/>
        <v>0</v>
      </c>
      <c r="H59" s="16">
        <f t="shared" si="19"/>
        <v>299396.52602347767</v>
      </c>
      <c r="I59" s="27">
        <f t="shared" si="18"/>
        <v>0</v>
      </c>
    </row>
    <row r="60" spans="1:20" x14ac:dyDescent="0.25">
      <c r="A60" t="s">
        <v>49</v>
      </c>
      <c r="D60" s="16">
        <f t="shared" si="14"/>
        <v>16676.057941274885</v>
      </c>
      <c r="E60" s="16">
        <f t="shared" si="15"/>
        <v>36147.067090186989</v>
      </c>
      <c r="F60" s="16">
        <f t="shared" si="16"/>
        <v>269.61511060308987</v>
      </c>
      <c r="G60" s="16">
        <f t="shared" si="17"/>
        <v>8853.414895980206</v>
      </c>
      <c r="H60" s="16">
        <f t="shared" si="19"/>
        <v>36416.682200790077</v>
      </c>
      <c r="I60" s="27">
        <f t="shared" si="18"/>
        <v>0</v>
      </c>
    </row>
    <row r="61" spans="1:20" x14ac:dyDescent="0.25">
      <c r="A61" t="s">
        <v>50</v>
      </c>
      <c r="D61" s="16">
        <f t="shared" si="14"/>
        <v>74450.125936951954</v>
      </c>
      <c r="E61" s="16">
        <f t="shared" si="15"/>
        <v>161378.28895730819</v>
      </c>
      <c r="F61" s="16">
        <f t="shared" si="16"/>
        <v>1203.694482808369</v>
      </c>
      <c r="G61" s="16">
        <f t="shared" si="17"/>
        <v>39525.999267871426</v>
      </c>
      <c r="H61" s="16">
        <f t="shared" si="19"/>
        <v>162581.98344011657</v>
      </c>
      <c r="I61" s="16">
        <f t="shared" si="18"/>
        <v>94081.579865980559</v>
      </c>
    </row>
    <row r="62" spans="1:20" x14ac:dyDescent="0.25">
      <c r="A62" t="s">
        <v>51</v>
      </c>
      <c r="D62" s="16">
        <f t="shared" si="14"/>
        <v>0</v>
      </c>
      <c r="E62" s="16">
        <f t="shared" si="15"/>
        <v>0</v>
      </c>
      <c r="F62" s="16">
        <f t="shared" si="16"/>
        <v>0</v>
      </c>
      <c r="G62" s="16">
        <f t="shared" si="17"/>
        <v>0</v>
      </c>
      <c r="H62" s="16">
        <f t="shared" si="19"/>
        <v>0</v>
      </c>
      <c r="I62" s="16">
        <f t="shared" si="18"/>
        <v>0</v>
      </c>
    </row>
    <row r="63" spans="1:20" x14ac:dyDescent="0.25">
      <c r="A63" t="s">
        <v>71</v>
      </c>
      <c r="D63" s="16">
        <f t="shared" si="14"/>
        <v>97837.572439262818</v>
      </c>
      <c r="E63" s="16">
        <f t="shared" si="15"/>
        <v>212072.97955890247</v>
      </c>
      <c r="F63" s="16">
        <f t="shared" si="16"/>
        <v>1581.8179576517484</v>
      </c>
      <c r="G63" s="16">
        <f t="shared" si="17"/>
        <v>51942.528880065227</v>
      </c>
      <c r="H63" s="16">
        <f t="shared" si="19"/>
        <v>213654.79751655422</v>
      </c>
      <c r="I63" s="16">
        <f t="shared" si="18"/>
        <v>123635.96796509344</v>
      </c>
    </row>
    <row r="64" spans="1:20" ht="10.5" customHeight="1" x14ac:dyDescent="0.25">
      <c r="A64" t="s">
        <v>54</v>
      </c>
      <c r="D64" s="16">
        <f t="shared" si="14"/>
        <v>0</v>
      </c>
      <c r="E64" s="16">
        <f t="shared" si="15"/>
        <v>0</v>
      </c>
      <c r="F64" s="16">
        <f t="shared" si="16"/>
        <v>0</v>
      </c>
      <c r="G64" s="16">
        <f t="shared" si="17"/>
        <v>0</v>
      </c>
      <c r="H64" s="16">
        <f t="shared" si="19"/>
        <v>0</v>
      </c>
      <c r="I64" s="16">
        <f t="shared" si="18"/>
        <v>4302860.0167262219</v>
      </c>
    </row>
    <row r="65" spans="1:11" x14ac:dyDescent="0.25">
      <c r="A65" t="s">
        <v>55</v>
      </c>
      <c r="D65" s="16">
        <f t="shared" si="14"/>
        <v>3763153.7744813142</v>
      </c>
      <c r="E65" s="16">
        <f t="shared" si="15"/>
        <v>13486009.256593663</v>
      </c>
      <c r="F65" s="16">
        <f t="shared" si="16"/>
        <v>169355.37598507898</v>
      </c>
      <c r="G65" s="27">
        <f t="shared" si="17"/>
        <v>0</v>
      </c>
      <c r="H65" s="16">
        <f t="shared" si="19"/>
        <v>13655364.632578742</v>
      </c>
      <c r="I65" s="16">
        <f t="shared" si="18"/>
        <v>0</v>
      </c>
    </row>
    <row r="66" spans="1:11" x14ac:dyDescent="0.25">
      <c r="A66" t="s">
        <v>57</v>
      </c>
      <c r="D66" s="16">
        <f t="shared" si="14"/>
        <v>1700.9327839984828</v>
      </c>
      <c r="E66" s="16">
        <f t="shared" si="15"/>
        <v>6095.6305919252227</v>
      </c>
      <c r="F66" s="16">
        <f t="shared" si="16"/>
        <v>76.548057406746452</v>
      </c>
      <c r="G66" s="27">
        <f t="shared" si="17"/>
        <v>0</v>
      </c>
      <c r="H66" s="16">
        <f t="shared" si="19"/>
        <v>6172.1786493319687</v>
      </c>
      <c r="I66" s="16">
        <f t="shared" si="18"/>
        <v>0</v>
      </c>
    </row>
    <row r="67" spans="1:11" x14ac:dyDescent="0.25">
      <c r="A67" t="s">
        <v>58</v>
      </c>
      <c r="D67" s="16">
        <f t="shared" si="14"/>
        <v>10903.910168359407</v>
      </c>
      <c r="E67" s="16">
        <f>F30*E$52</f>
        <v>39076.328599893335</v>
      </c>
      <c r="F67" s="16">
        <f>I30*F$52</f>
        <v>490.71494733816985</v>
      </c>
      <c r="G67" s="16">
        <f>L30*G$52</f>
        <v>0</v>
      </c>
      <c r="H67" s="16">
        <f t="shared" si="19"/>
        <v>39567.043547231508</v>
      </c>
      <c r="I67" s="16">
        <f>(N30+P30+R30)*I$52</f>
        <v>0</v>
      </c>
    </row>
    <row r="68" spans="1:11" x14ac:dyDescent="0.25">
      <c r="A68" t="s">
        <v>59</v>
      </c>
      <c r="D68" s="16">
        <f t="shared" si="14"/>
        <v>138974.84598036457</v>
      </c>
      <c r="E68" s="16">
        <f>F31*E$52</f>
        <v>498043.97365696367</v>
      </c>
      <c r="F68" s="16">
        <f>I31*F$52</f>
        <v>6254.3650097628906</v>
      </c>
      <c r="G68" s="16">
        <f>L31*G$52</f>
        <v>0</v>
      </c>
      <c r="H68" s="16">
        <f t="shared" si="19"/>
        <v>504298.33866672654</v>
      </c>
      <c r="I68" s="16">
        <f>(N31+P31+R31)*I$52</f>
        <v>0</v>
      </c>
    </row>
    <row r="69" spans="1:11" x14ac:dyDescent="0.25">
      <c r="A69" t="s">
        <v>60</v>
      </c>
      <c r="D69" s="16">
        <f t="shared" si="14"/>
        <v>346122.32715505926</v>
      </c>
      <c r="E69" s="16">
        <f>F32*E$52</f>
        <v>1240398.1308391378</v>
      </c>
      <c r="F69" s="16">
        <f>I32*F$52</f>
        <v>15576.742372228731</v>
      </c>
      <c r="G69" s="16">
        <f>L32*G$52</f>
        <v>0</v>
      </c>
      <c r="H69" s="16">
        <f t="shared" si="19"/>
        <v>1255974.8732113666</v>
      </c>
      <c r="I69" s="16">
        <f>(N32+P32+R32)*I$52</f>
        <v>0</v>
      </c>
    </row>
    <row r="70" spans="1:11" x14ac:dyDescent="0.25">
      <c r="A70" s="28" t="s">
        <v>72</v>
      </c>
      <c r="B70" s="28"/>
      <c r="C70" s="28"/>
      <c r="D70" s="16"/>
      <c r="E70" s="16"/>
      <c r="F70" s="16"/>
      <c r="G70" s="16"/>
      <c r="H70" s="16"/>
      <c r="I70" s="16"/>
    </row>
    <row r="72" spans="1:11" ht="13.8" thickBot="1" x14ac:dyDescent="0.3">
      <c r="A72" t="s">
        <v>73</v>
      </c>
      <c r="D72" s="29">
        <f t="shared" ref="D72:I72" si="20">SUM(D55:D71)</f>
        <v>11354152.649717052</v>
      </c>
      <c r="E72" s="29">
        <f t="shared" si="20"/>
        <v>30645072.263980314</v>
      </c>
      <c r="F72" s="29">
        <f t="shared" si="20"/>
        <v>306436.72624358709</v>
      </c>
      <c r="G72" s="29">
        <f t="shared" si="20"/>
        <v>3642283.5825765915</v>
      </c>
      <c r="H72" s="29">
        <f t="shared" si="20"/>
        <v>30951508.990223899</v>
      </c>
      <c r="I72" s="29">
        <f t="shared" si="20"/>
        <v>4520577.5645572962</v>
      </c>
    </row>
    <row r="73" spans="1:11" ht="13.8" thickTop="1" x14ac:dyDescent="0.25"/>
    <row r="74" spans="1:11" ht="13.8" thickBot="1" x14ac:dyDescent="0.3">
      <c r="A74" t="s">
        <v>74</v>
      </c>
      <c r="D74" s="30">
        <v>43067229.092400014</v>
      </c>
      <c r="E74" s="30">
        <v>93282246.476399899</v>
      </c>
      <c r="F74" s="30">
        <v>696302.19420000014</v>
      </c>
      <c r="G74" s="30">
        <v>22864639.168199997</v>
      </c>
      <c r="H74" s="16">
        <f t="shared" ref="H74" si="21">E74+F74</f>
        <v>93978548.670599893</v>
      </c>
      <c r="I74" s="30">
        <v>42019619.11019998</v>
      </c>
    </row>
    <row r="75" spans="1:11" ht="13.8" thickTop="1" x14ac:dyDescent="0.25"/>
    <row r="77" spans="1:11" x14ac:dyDescent="0.25">
      <c r="A77" s="1" t="s">
        <v>75</v>
      </c>
    </row>
    <row r="78" spans="1:11" x14ac:dyDescent="0.25">
      <c r="E78" s="9" t="s">
        <v>76</v>
      </c>
      <c r="F78" s="9" t="s">
        <v>77</v>
      </c>
      <c r="G78" s="9" t="s">
        <v>78</v>
      </c>
      <c r="H78" s="9"/>
      <c r="I78" s="9" t="s">
        <v>79</v>
      </c>
    </row>
    <row r="79" spans="1:11" x14ac:dyDescent="0.25">
      <c r="D79" s="9" t="s">
        <v>78</v>
      </c>
      <c r="E79" s="9" t="s">
        <v>80</v>
      </c>
      <c r="F79" s="9" t="s">
        <v>81</v>
      </c>
      <c r="G79" s="9" t="s">
        <v>82</v>
      </c>
      <c r="H79" s="9"/>
      <c r="I79" s="9" t="s">
        <v>83</v>
      </c>
      <c r="J79" s="9"/>
      <c r="K79" s="9"/>
    </row>
    <row r="80" spans="1:11" x14ac:dyDescent="0.25">
      <c r="D80" s="31" t="s">
        <v>84</v>
      </c>
      <c r="E80" s="31" t="s">
        <v>85</v>
      </c>
      <c r="F80" s="31" t="s">
        <v>86</v>
      </c>
      <c r="G80" s="31" t="s">
        <v>87</v>
      </c>
      <c r="H80" s="31"/>
      <c r="I80" s="11" t="s">
        <v>88</v>
      </c>
      <c r="J80" s="31" t="s">
        <v>89</v>
      </c>
      <c r="K80" s="47"/>
    </row>
    <row r="82" spans="1:12" x14ac:dyDescent="0.25">
      <c r="A82" t="s">
        <v>90</v>
      </c>
      <c r="D82" s="3">
        <f>D84-D83</f>
        <v>3212366.2739999965</v>
      </c>
      <c r="E82" s="3">
        <f>E84-E83</f>
        <v>53077951.986599952</v>
      </c>
      <c r="F82" s="3">
        <f>N36+P36</f>
        <v>197237.11177926545</v>
      </c>
      <c r="G82" s="32">
        <f>F82/E82</f>
        <v>3.7159894908729693E-3</v>
      </c>
      <c r="H82" s="32"/>
      <c r="I82" s="3">
        <f>D82*G82</f>
        <v>11937.119315018745</v>
      </c>
    </row>
    <row r="83" spans="1:12" x14ac:dyDescent="0.25">
      <c r="A83" t="s">
        <v>91</v>
      </c>
      <c r="D83" s="33">
        <v>38807252.836199984</v>
      </c>
      <c r="E83" s="33">
        <v>125762731.26719996</v>
      </c>
      <c r="F83" s="33">
        <f>R36</f>
        <v>14611158.875088155</v>
      </c>
      <c r="G83" s="32">
        <f>F83/E83</f>
        <v>0.11618035588019131</v>
      </c>
      <c r="H83" s="32"/>
      <c r="I83" s="3">
        <f>D83*G83</f>
        <v>4508640.4452422773</v>
      </c>
    </row>
    <row r="84" spans="1:12" x14ac:dyDescent="0.25">
      <c r="A84" t="s">
        <v>92</v>
      </c>
      <c r="D84" s="3">
        <v>42019619.11019998</v>
      </c>
      <c r="E84" s="3">
        <v>178840683.25379992</v>
      </c>
      <c r="F84" s="34">
        <f>SUM(F82:F83)</f>
        <v>14808395.98686742</v>
      </c>
      <c r="G84" s="3"/>
      <c r="H84" s="3"/>
      <c r="I84" s="34">
        <f>SUM(I82:I83)</f>
        <v>4520577.5645572962</v>
      </c>
      <c r="J84" s="35">
        <f>I84/F84</f>
        <v>0.30527125075303868</v>
      </c>
      <c r="K84" s="48"/>
    </row>
    <row r="85" spans="1:12" x14ac:dyDescent="0.25">
      <c r="D85" s="3"/>
      <c r="E85" s="3"/>
      <c r="F85" s="3"/>
      <c r="G85" s="3"/>
      <c r="H85" s="3"/>
      <c r="I85" s="3"/>
    </row>
    <row r="87" spans="1:12" x14ac:dyDescent="0.25">
      <c r="A87" t="s">
        <v>95</v>
      </c>
      <c r="D87" s="9" t="s">
        <v>18</v>
      </c>
      <c r="E87" s="9" t="s">
        <v>20</v>
      </c>
      <c r="F87" s="9" t="s">
        <v>22</v>
      </c>
      <c r="G87" s="9" t="s">
        <v>94</v>
      </c>
      <c r="H87" s="9" t="s">
        <v>24</v>
      </c>
      <c r="I87" s="9" t="s">
        <v>26</v>
      </c>
      <c r="J87" s="9" t="s">
        <v>30</v>
      </c>
      <c r="K87" s="9"/>
    </row>
    <row r="88" spans="1:12" x14ac:dyDescent="0.25">
      <c r="D88" t="s">
        <v>93</v>
      </c>
      <c r="E88" t="s">
        <v>93</v>
      </c>
      <c r="F88" t="s">
        <v>93</v>
      </c>
      <c r="G88" t="s">
        <v>93</v>
      </c>
      <c r="H88" t="s">
        <v>93</v>
      </c>
      <c r="I88" t="s">
        <v>93</v>
      </c>
      <c r="J88" t="s">
        <v>93</v>
      </c>
      <c r="L88" t="s">
        <v>100</v>
      </c>
    </row>
    <row r="89" spans="1:12" x14ac:dyDescent="0.25">
      <c r="A89" t="s">
        <v>42</v>
      </c>
      <c r="B89" t="s">
        <v>43</v>
      </c>
      <c r="C89" s="36">
        <v>0.14050000000000001</v>
      </c>
      <c r="D89" s="16">
        <v>69486949.625130922</v>
      </c>
      <c r="E89" s="16">
        <v>0</v>
      </c>
      <c r="F89" s="16">
        <v>0</v>
      </c>
      <c r="G89" s="16">
        <v>0</v>
      </c>
      <c r="H89" s="16">
        <v>14076179.265132597</v>
      </c>
      <c r="I89" s="16">
        <v>0</v>
      </c>
      <c r="J89" s="16">
        <v>0</v>
      </c>
      <c r="K89" s="16"/>
    </row>
    <row r="90" spans="1:12" x14ac:dyDescent="0.25">
      <c r="A90" t="s">
        <v>44</v>
      </c>
      <c r="B90" t="s">
        <v>43</v>
      </c>
      <c r="C90" s="36">
        <v>0.14050000000000001</v>
      </c>
      <c r="D90" s="16">
        <v>0</v>
      </c>
      <c r="E90" s="16">
        <v>91540631.720648378</v>
      </c>
      <c r="F90" s="16">
        <v>14844805.803242996</v>
      </c>
      <c r="G90" s="16">
        <v>106385437.52389137</v>
      </c>
      <c r="H90" s="16">
        <v>0</v>
      </c>
      <c r="I90" s="16">
        <v>0</v>
      </c>
      <c r="J90" s="16">
        <v>0</v>
      </c>
      <c r="K90" s="16"/>
    </row>
    <row r="91" spans="1:12" x14ac:dyDescent="0.25">
      <c r="A91" t="s">
        <v>46</v>
      </c>
      <c r="B91" t="s">
        <v>43</v>
      </c>
      <c r="C91" s="36">
        <v>1.4410016881386578E-2</v>
      </c>
      <c r="D91" s="16">
        <v>7126748.1646561949</v>
      </c>
      <c r="E91" s="16">
        <v>9388626.6791981123</v>
      </c>
      <c r="F91" s="16">
        <v>1522518.8770507975</v>
      </c>
      <c r="G91" s="16">
        <v>10911145.556248911</v>
      </c>
      <c r="H91" s="16">
        <v>1443686.696341526</v>
      </c>
      <c r="I91" s="16">
        <v>0</v>
      </c>
      <c r="J91" s="16">
        <v>0</v>
      </c>
      <c r="K91" s="16"/>
      <c r="L91" s="6">
        <f>H20/$H$13-0.001</f>
        <v>1.3410016881386575E-2</v>
      </c>
    </row>
    <row r="92" spans="1:12" x14ac:dyDescent="0.25">
      <c r="A92" t="s">
        <v>47</v>
      </c>
      <c r="B92" t="s">
        <v>43</v>
      </c>
      <c r="C92" s="36">
        <v>2.2218096293209828E-3</v>
      </c>
      <c r="D92" s="16">
        <v>1098838.2476103769</v>
      </c>
      <c r="E92" s="16">
        <v>1447586.1710395899</v>
      </c>
      <c r="F92" s="16">
        <v>234749.69735975299</v>
      </c>
      <c r="G92" s="16">
        <v>1682335.868399343</v>
      </c>
      <c r="H92" s="16">
        <v>0</v>
      </c>
      <c r="I92" s="16">
        <v>0</v>
      </c>
      <c r="J92" s="16">
        <v>0</v>
      </c>
      <c r="K92" s="16"/>
      <c r="L92" s="6">
        <f t="shared" ref="L92:L104" si="22">H21/$H$13</f>
        <v>2.2218096293209828E-3</v>
      </c>
    </row>
    <row r="93" spans="1:12" x14ac:dyDescent="0.25">
      <c r="A93" t="s">
        <v>48</v>
      </c>
      <c r="B93" t="s">
        <v>43</v>
      </c>
      <c r="C93" s="36">
        <v>3.1834119741583978E-3</v>
      </c>
      <c r="D93" s="16">
        <v>1574416.9927714106</v>
      </c>
      <c r="E93" s="16">
        <v>2074103.5099041713</v>
      </c>
      <c r="F93" s="16">
        <v>336349.6978512443</v>
      </c>
      <c r="G93" s="16">
        <v>2410453.2077554157</v>
      </c>
      <c r="H93" s="16">
        <v>0</v>
      </c>
      <c r="I93" s="16">
        <v>0</v>
      </c>
      <c r="J93" s="16">
        <v>0</v>
      </c>
      <c r="K93" s="16"/>
      <c r="L93" s="6">
        <f t="shared" si="22"/>
        <v>3.1834119741583982E-3</v>
      </c>
    </row>
    <row r="94" spans="1:12" x14ac:dyDescent="0.25">
      <c r="A94" t="s">
        <v>49</v>
      </c>
      <c r="B94" t="s">
        <v>43</v>
      </c>
      <c r="C94" s="36">
        <v>3.8720991093939858E-4</v>
      </c>
      <c r="D94" s="16">
        <v>191502.03256795317</v>
      </c>
      <c r="E94" s="16">
        <v>252280.71071806794</v>
      </c>
      <c r="F94" s="16">
        <v>40911.430128016997</v>
      </c>
      <c r="G94" s="16">
        <v>293192.14084608492</v>
      </c>
      <c r="H94" s="16">
        <v>38793.139641416383</v>
      </c>
      <c r="I94" s="16">
        <v>0</v>
      </c>
      <c r="J94" s="16">
        <v>0</v>
      </c>
      <c r="K94" s="16"/>
      <c r="L94" s="6">
        <f>H23/$H$13+0.001</f>
        <v>1.3872099109393985E-3</v>
      </c>
    </row>
    <row r="95" spans="1:12" x14ac:dyDescent="0.25">
      <c r="A95" t="s">
        <v>50</v>
      </c>
      <c r="B95" t="s">
        <v>43</v>
      </c>
      <c r="C95" s="36">
        <v>1.7286955187486165E-3</v>
      </c>
      <c r="D95" s="16">
        <v>854959.27707099426</v>
      </c>
      <c r="E95" s="16">
        <v>1126305.1945829345</v>
      </c>
      <c r="F95" s="16">
        <v>182648.74924384072</v>
      </c>
      <c r="G95" s="16">
        <v>1308953.9438267753</v>
      </c>
      <c r="H95" s="16">
        <v>173191.65848211324</v>
      </c>
      <c r="I95" s="16">
        <v>85231.435266734232</v>
      </c>
      <c r="J95" s="16">
        <v>128877.09328365749</v>
      </c>
      <c r="K95" s="16"/>
      <c r="L95" s="6">
        <f t="shared" si="22"/>
        <v>1.7286955187486165E-3</v>
      </c>
    </row>
    <row r="96" spans="1:12" x14ac:dyDescent="0.25">
      <c r="A96" t="s">
        <v>51</v>
      </c>
      <c r="B96" t="s">
        <v>43</v>
      </c>
      <c r="C96" s="36">
        <v>4.6572359951644396E-3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/>
      <c r="L96" s="6">
        <f t="shared" si="22"/>
        <v>0</v>
      </c>
    </row>
    <row r="97" spans="1:12" x14ac:dyDescent="0.25">
      <c r="A97" t="s">
        <v>52</v>
      </c>
      <c r="B97" t="s">
        <v>43</v>
      </c>
      <c r="C97" s="36">
        <v>2.2717405902607283E-3</v>
      </c>
      <c r="D97" s="16">
        <v>1123532.5548527574</v>
      </c>
      <c r="E97" s="16">
        <v>1480117.9269601828</v>
      </c>
      <c r="F97" s="16">
        <v>240025.25194138882</v>
      </c>
      <c r="G97" s="16">
        <v>1720143.1789015718</v>
      </c>
      <c r="H97" s="16">
        <v>227597.35083550282</v>
      </c>
      <c r="I97" s="16">
        <v>112005.67651253122</v>
      </c>
      <c r="J97" s="16">
        <v>169361.99625208712</v>
      </c>
      <c r="K97" s="16"/>
      <c r="L97" s="6">
        <f t="shared" si="22"/>
        <v>2.2717405902607283E-3</v>
      </c>
    </row>
    <row r="98" spans="1:12" x14ac:dyDescent="0.25">
      <c r="A98" t="s">
        <v>54</v>
      </c>
      <c r="B98" t="s">
        <v>43</v>
      </c>
      <c r="C98" s="36">
        <v>0.10928623049281858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9792342.2209951151</v>
      </c>
      <c r="K98" s="16"/>
      <c r="L98" s="6"/>
    </row>
    <row r="99" spans="1:12" x14ac:dyDescent="0.25">
      <c r="A99" t="s">
        <v>55</v>
      </c>
      <c r="B99" t="s">
        <v>56</v>
      </c>
      <c r="C99" s="37">
        <v>10291.06904480497</v>
      </c>
      <c r="D99" s="16">
        <v>43214745.308317319</v>
      </c>
      <c r="E99" s="16">
        <v>94122712.404722869</v>
      </c>
      <c r="F99" s="16">
        <v>25698005.634474266</v>
      </c>
      <c r="G99" s="16">
        <v>119820718.03919713</v>
      </c>
      <c r="H99" s="16">
        <v>0</v>
      </c>
      <c r="I99" s="16">
        <v>0</v>
      </c>
      <c r="J99" s="16">
        <v>0</v>
      </c>
      <c r="K99" s="16"/>
      <c r="L99" s="6">
        <f>H28/$H$13-0.002</f>
        <v>1.6944206912629593E-2</v>
      </c>
    </row>
    <row r="100" spans="1:12" x14ac:dyDescent="0.25">
      <c r="A100" t="s">
        <v>57</v>
      </c>
      <c r="B100" t="s">
        <v>56</v>
      </c>
      <c r="C100" s="37">
        <v>4.651528417308274</v>
      </c>
      <c r="D100" s="16">
        <v>19532.918783578807</v>
      </c>
      <c r="E100" s="16">
        <v>42543.147806953581</v>
      </c>
      <c r="F100" s="16">
        <v>11615.411669718378</v>
      </c>
      <c r="G100" s="16">
        <v>54158.559476671959</v>
      </c>
      <c r="H100" s="16">
        <v>0</v>
      </c>
      <c r="I100" s="16">
        <v>0</v>
      </c>
      <c r="J100" s="16">
        <v>0</v>
      </c>
      <c r="K100" s="16"/>
      <c r="L100" s="6">
        <f t="shared" si="22"/>
        <v>8.5627174799636573E-6</v>
      </c>
    </row>
    <row r="101" spans="1:12" x14ac:dyDescent="0.25">
      <c r="A101" t="s">
        <v>58</v>
      </c>
      <c r="B101" t="s">
        <v>56</v>
      </c>
      <c r="C101" s="37">
        <v>29.818843216526346</v>
      </c>
      <c r="D101" s="16">
        <v>125216.7009453052</v>
      </c>
      <c r="E101" s="16">
        <v>272724.86386897234</v>
      </c>
      <c r="F101" s="16">
        <v>74461.146617088016</v>
      </c>
      <c r="G101" s="16">
        <v>347186.01048606035</v>
      </c>
      <c r="H101" s="16">
        <v>0</v>
      </c>
      <c r="I101" s="16">
        <v>0</v>
      </c>
      <c r="J101" s="16">
        <v>0</v>
      </c>
      <c r="K101" s="16"/>
      <c r="L101" s="6">
        <f>H30/$H$13+0.001</f>
        <v>1.0548917059374217E-3</v>
      </c>
    </row>
    <row r="102" spans="1:12" x14ac:dyDescent="0.25">
      <c r="A102" t="s">
        <v>59</v>
      </c>
      <c r="B102" t="s">
        <v>56</v>
      </c>
      <c r="C102" s="37">
        <v>380.05349267774648</v>
      </c>
      <c r="D102" s="16">
        <v>1595938.6549734795</v>
      </c>
      <c r="E102" s="16">
        <v>3475991.214710182</v>
      </c>
      <c r="F102" s="16">
        <v>949038.11778083781</v>
      </c>
      <c r="G102" s="16">
        <v>4425029.3324910197</v>
      </c>
      <c r="H102" s="16">
        <v>0</v>
      </c>
      <c r="I102" s="16">
        <v>0</v>
      </c>
      <c r="J102" s="16">
        <v>0</v>
      </c>
      <c r="K102" s="16"/>
      <c r="L102" s="6">
        <f t="shared" si="22"/>
        <v>6.9961750055397016E-4</v>
      </c>
    </row>
    <row r="103" spans="1:12" x14ac:dyDescent="0.25">
      <c r="A103" t="s">
        <v>60</v>
      </c>
      <c r="B103" t="s">
        <v>56</v>
      </c>
      <c r="C103" s="37">
        <v>946.53819114586793</v>
      </c>
      <c r="D103" s="16">
        <v>3974748.0730015114</v>
      </c>
      <c r="E103" s="16">
        <v>8657093.0150627047</v>
      </c>
      <c r="F103" s="16">
        <v>2363616.8082645074</v>
      </c>
      <c r="G103" s="16">
        <v>11020709.823327212</v>
      </c>
      <c r="H103" s="16">
        <v>0</v>
      </c>
      <c r="I103" s="16">
        <v>0</v>
      </c>
      <c r="J103" s="16">
        <v>0</v>
      </c>
      <c r="K103" s="16"/>
      <c r="L103" s="6">
        <f t="shared" si="22"/>
        <v>1.7424249381385131E-3</v>
      </c>
    </row>
    <row r="104" spans="1:12" x14ac:dyDescent="0.25">
      <c r="A104" t="s">
        <v>61</v>
      </c>
      <c r="B104" t="s">
        <v>56</v>
      </c>
      <c r="C104" s="37">
        <v>331.67243306569344</v>
      </c>
      <c r="D104" s="16">
        <v>1514057.8710791962</v>
      </c>
      <c r="E104" s="16">
        <v>3468137.8948200643</v>
      </c>
      <c r="F104" s="16">
        <v>833683.12135255907</v>
      </c>
      <c r="G104" s="16">
        <v>4301821.0161726233</v>
      </c>
      <c r="H104" s="16">
        <v>0</v>
      </c>
      <c r="I104" s="16">
        <v>0</v>
      </c>
      <c r="J104" s="16">
        <v>0</v>
      </c>
      <c r="K104" s="16"/>
      <c r="L104" s="6">
        <f t="shared" si="22"/>
        <v>6.1055573253428338E-4</v>
      </c>
    </row>
    <row r="105" spans="1:12" x14ac:dyDescent="0.25">
      <c r="D105" s="16">
        <f>SUM(D89:D104)</f>
        <v>131901186.42176099</v>
      </c>
      <c r="E105" s="16">
        <f>SUM(E89:E104)</f>
        <v>217348854.45404318</v>
      </c>
      <c r="F105" s="16">
        <f>SUM(F89:F104)</f>
        <v>47332429.746977009</v>
      </c>
      <c r="G105" s="16">
        <f>SUM(G89:G104)</f>
        <v>264681284.20102021</v>
      </c>
      <c r="H105" s="16">
        <f>SUM(H89:H104)</f>
        <v>15959448.110433156</v>
      </c>
      <c r="I105" s="16">
        <f t="shared" ref="I105:J105" si="23">SUM(I89:I104)</f>
        <v>197237.11177926545</v>
      </c>
      <c r="J105" s="16">
        <f t="shared" si="23"/>
        <v>10090581.31053086</v>
      </c>
      <c r="K105" s="16"/>
      <c r="L105" s="45">
        <f>SUM(L91:L104)</f>
        <v>4.5263144012088433E-2</v>
      </c>
    </row>
    <row r="107" spans="1:12" x14ac:dyDescent="0.25">
      <c r="D107" s="16">
        <f>D36-D72</f>
        <v>131901186.42176099</v>
      </c>
      <c r="E107" s="16">
        <f>F36-E72</f>
        <v>217348854.45404315</v>
      </c>
      <c r="F107" s="16">
        <f>I36-F72</f>
        <v>47332429.746977024</v>
      </c>
      <c r="H107" s="16">
        <f>L36-G72</f>
        <v>15959448.110433158</v>
      </c>
      <c r="I107" s="16">
        <v>197237.11177926545</v>
      </c>
      <c r="J107" s="16">
        <f>R41</f>
        <v>10090581.31053086</v>
      </c>
      <c r="K107" s="16"/>
    </row>
    <row r="109" spans="1:12" x14ac:dyDescent="0.25">
      <c r="D109">
        <f>D105/D43</f>
        <v>0.26669924053703203</v>
      </c>
    </row>
    <row r="111" spans="1:12" x14ac:dyDescent="0.25">
      <c r="G111" s="6"/>
    </row>
  </sheetData>
  <mergeCells count="7">
    <mergeCell ref="R8:S8"/>
    <mergeCell ref="D8:E8"/>
    <mergeCell ref="F8:H8"/>
    <mergeCell ref="I8:J8"/>
    <mergeCell ref="L8:M8"/>
    <mergeCell ref="N8:O8"/>
    <mergeCell ref="P8:Q8"/>
  </mergeCells>
  <printOptions gridLines="1"/>
  <pageMargins left="0.5" right="0.5" top="0.5" bottom="0.5" header="0.5" footer="0.5"/>
  <pageSetup scale="3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516A-FEAB-49EF-8055-F7E0CB877A13}">
  <dimension ref="A1:F44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G2" sqref="G2"/>
    </sheetView>
  </sheetViews>
  <sheetFormatPr defaultRowHeight="13.2" x14ac:dyDescent="0.25"/>
  <cols>
    <col min="1" max="1" width="33.6640625" style="50" bestFit="1" customWidth="1"/>
    <col min="2" max="2" width="11.6640625" style="67" customWidth="1"/>
    <col min="3" max="3" width="49.77734375" style="65" customWidth="1"/>
    <col min="4" max="6" width="8.88671875" style="69"/>
  </cols>
  <sheetData>
    <row r="1" spans="1:6" ht="13.8" thickBot="1" x14ac:dyDescent="0.3">
      <c r="D1" s="91" t="s">
        <v>263</v>
      </c>
      <c r="E1" s="92"/>
      <c r="F1" s="93"/>
    </row>
    <row r="2" spans="1:6" s="1" customFormat="1" ht="27" thickBot="1" x14ac:dyDescent="0.3">
      <c r="B2" s="68" t="s">
        <v>169</v>
      </c>
      <c r="C2" s="66" t="s">
        <v>170</v>
      </c>
      <c r="D2" s="86" t="s">
        <v>260</v>
      </c>
      <c r="E2" s="86" t="s">
        <v>261</v>
      </c>
      <c r="F2" s="86" t="s">
        <v>99</v>
      </c>
    </row>
    <row r="3" spans="1:6" ht="26.4" x14ac:dyDescent="0.25">
      <c r="A3" s="74" t="s">
        <v>18</v>
      </c>
      <c r="B3" s="75" t="s">
        <v>171</v>
      </c>
      <c r="C3" s="76" t="s">
        <v>172</v>
      </c>
      <c r="D3" s="87">
        <v>0.26</v>
      </c>
      <c r="E3" s="87">
        <v>0.35199999999999998</v>
      </c>
      <c r="F3" s="87">
        <v>0.27600000000000002</v>
      </c>
    </row>
    <row r="4" spans="1:6" ht="27.6" x14ac:dyDescent="0.35">
      <c r="A4" s="77"/>
      <c r="B4" s="72" t="s">
        <v>173</v>
      </c>
      <c r="C4" s="73" t="s">
        <v>174</v>
      </c>
      <c r="D4" s="88">
        <v>0.26</v>
      </c>
      <c r="E4" s="88">
        <v>0.35199999999999998</v>
      </c>
      <c r="F4" s="88">
        <v>0.27600000000000002</v>
      </c>
    </row>
    <row r="5" spans="1:6" ht="27.6" x14ac:dyDescent="0.35">
      <c r="A5" s="77"/>
      <c r="B5" s="72" t="s">
        <v>175</v>
      </c>
      <c r="C5" s="73" t="s">
        <v>176</v>
      </c>
      <c r="D5" s="88">
        <v>0.26</v>
      </c>
      <c r="E5" s="88">
        <v>0.35199999999999998</v>
      </c>
      <c r="F5" s="88">
        <v>0.27600000000000002</v>
      </c>
    </row>
    <row r="6" spans="1:6" ht="27.6" x14ac:dyDescent="0.35">
      <c r="A6" s="77"/>
      <c r="B6" s="72" t="s">
        <v>177</v>
      </c>
      <c r="C6" s="73" t="s">
        <v>178</v>
      </c>
      <c r="D6" s="88">
        <v>0.26</v>
      </c>
      <c r="E6" s="88">
        <v>0.35199999999999998</v>
      </c>
      <c r="F6" s="88">
        <v>0.27600000000000002</v>
      </c>
    </row>
    <row r="7" spans="1:6" ht="27.6" x14ac:dyDescent="0.35">
      <c r="A7" s="77"/>
      <c r="B7" s="72" t="s">
        <v>179</v>
      </c>
      <c r="C7" s="73" t="s">
        <v>180</v>
      </c>
      <c r="D7" s="88">
        <v>0.26</v>
      </c>
      <c r="E7" s="88">
        <v>0.35199999999999998</v>
      </c>
      <c r="F7" s="88">
        <v>0.27600000000000002</v>
      </c>
    </row>
    <row r="8" spans="1:6" ht="27.6" x14ac:dyDescent="0.35">
      <c r="A8" s="77"/>
      <c r="B8" s="72" t="s">
        <v>181</v>
      </c>
      <c r="C8" s="73" t="s">
        <v>182</v>
      </c>
      <c r="D8" s="88">
        <v>0.26</v>
      </c>
      <c r="E8" s="88">
        <v>0.35199999999999998</v>
      </c>
      <c r="F8" s="88">
        <v>0.27600000000000002</v>
      </c>
    </row>
    <row r="9" spans="1:6" ht="27.6" x14ac:dyDescent="0.35">
      <c r="A9" s="77"/>
      <c r="B9" s="72" t="s">
        <v>183</v>
      </c>
      <c r="C9" s="73" t="s">
        <v>184</v>
      </c>
      <c r="D9" s="88">
        <v>0.26</v>
      </c>
      <c r="E9" s="88">
        <v>0.35199999999999998</v>
      </c>
      <c r="F9" s="88">
        <v>0.27600000000000002</v>
      </c>
    </row>
    <row r="10" spans="1:6" ht="28.2" thickBot="1" x14ac:dyDescent="0.4">
      <c r="A10" s="78"/>
      <c r="B10" s="79" t="s">
        <v>185</v>
      </c>
      <c r="C10" s="80" t="s">
        <v>186</v>
      </c>
      <c r="D10" s="89">
        <v>0.26</v>
      </c>
      <c r="E10" s="89">
        <v>0.35199999999999998</v>
      </c>
      <c r="F10" s="89">
        <v>0.27600000000000002</v>
      </c>
    </row>
    <row r="11" spans="1:6" ht="27" x14ac:dyDescent="0.3">
      <c r="A11" s="81" t="s">
        <v>97</v>
      </c>
      <c r="B11" s="75" t="s">
        <v>187</v>
      </c>
      <c r="C11" s="76" t="s">
        <v>188</v>
      </c>
      <c r="D11" s="87">
        <v>0.34300000000000003</v>
      </c>
      <c r="E11" s="87">
        <v>0.33200000000000002</v>
      </c>
      <c r="F11" s="87">
        <v>0.35099999999999998</v>
      </c>
    </row>
    <row r="12" spans="1:6" ht="27.6" x14ac:dyDescent="0.35">
      <c r="A12" s="77"/>
      <c r="B12" s="72" t="s">
        <v>189</v>
      </c>
      <c r="C12" s="73" t="s">
        <v>190</v>
      </c>
      <c r="D12" s="88">
        <v>0.34300000000000003</v>
      </c>
      <c r="E12" s="88">
        <v>0.33200000000000002</v>
      </c>
      <c r="F12" s="88">
        <v>0.35099999999999998</v>
      </c>
    </row>
    <row r="13" spans="1:6" ht="15" x14ac:dyDescent="0.35">
      <c r="A13" s="77"/>
      <c r="B13" s="72" t="s">
        <v>191</v>
      </c>
      <c r="C13" s="73" t="s">
        <v>192</v>
      </c>
      <c r="D13" s="88">
        <v>0.34300000000000003</v>
      </c>
      <c r="E13" s="88">
        <v>0.33200000000000002</v>
      </c>
      <c r="F13" s="88">
        <v>0.35099999999999998</v>
      </c>
    </row>
    <row r="14" spans="1:6" ht="15" x14ac:dyDescent="0.35">
      <c r="A14" s="77"/>
      <c r="B14" s="72" t="s">
        <v>193</v>
      </c>
      <c r="C14" s="73" t="s">
        <v>194</v>
      </c>
      <c r="D14" s="88">
        <v>0.34300000000000003</v>
      </c>
      <c r="E14" s="88">
        <v>0.33200000000000002</v>
      </c>
      <c r="F14" s="88">
        <v>0.35099999999999998</v>
      </c>
    </row>
    <row r="15" spans="1:6" ht="28.2" thickBot="1" x14ac:dyDescent="0.4">
      <c r="A15" s="78"/>
      <c r="B15" s="79" t="s">
        <v>195</v>
      </c>
      <c r="C15" s="80" t="s">
        <v>196</v>
      </c>
      <c r="D15" s="89">
        <v>0.34300000000000003</v>
      </c>
      <c r="E15" s="89">
        <v>0.33200000000000002</v>
      </c>
      <c r="F15" s="89">
        <v>0.35099999999999998</v>
      </c>
    </row>
    <row r="16" spans="1:6" ht="27" x14ac:dyDescent="0.3">
      <c r="A16" s="81" t="s">
        <v>24</v>
      </c>
      <c r="B16" s="75" t="s">
        <v>197</v>
      </c>
      <c r="C16" s="76" t="s">
        <v>198</v>
      </c>
      <c r="D16" s="87">
        <v>0.159</v>
      </c>
      <c r="E16" s="87">
        <v>0.16200000000000001</v>
      </c>
      <c r="F16" s="87">
        <v>0.16500000000000001</v>
      </c>
    </row>
    <row r="17" spans="1:6" ht="15" x14ac:dyDescent="0.35">
      <c r="A17" s="77"/>
      <c r="B17" s="72" t="s">
        <v>199</v>
      </c>
      <c r="C17" s="73" t="s">
        <v>200</v>
      </c>
      <c r="D17" s="88">
        <v>0.159</v>
      </c>
      <c r="E17" s="88">
        <v>0.16200000000000001</v>
      </c>
      <c r="F17" s="88">
        <v>0.16500000000000001</v>
      </c>
    </row>
    <row r="18" spans="1:6" ht="27.6" x14ac:dyDescent="0.35">
      <c r="A18" s="77"/>
      <c r="B18" s="72" t="s">
        <v>201</v>
      </c>
      <c r="C18" s="73" t="s">
        <v>202</v>
      </c>
      <c r="D18" s="88">
        <v>0.159</v>
      </c>
      <c r="E18" s="88">
        <v>0.16200000000000001</v>
      </c>
      <c r="F18" s="88">
        <v>0.16500000000000001</v>
      </c>
    </row>
    <row r="19" spans="1:6" ht="27.6" x14ac:dyDescent="0.35">
      <c r="A19" s="77"/>
      <c r="B19" s="72" t="s">
        <v>203</v>
      </c>
      <c r="C19" s="73" t="s">
        <v>204</v>
      </c>
      <c r="D19" s="88">
        <v>0.159</v>
      </c>
      <c r="E19" s="88">
        <v>0.16200000000000001</v>
      </c>
      <c r="F19" s="88">
        <v>0.16500000000000001</v>
      </c>
    </row>
    <row r="20" spans="1:6" ht="27.6" x14ac:dyDescent="0.35">
      <c r="A20" s="77"/>
      <c r="B20" s="72" t="s">
        <v>205</v>
      </c>
      <c r="C20" s="73" t="s">
        <v>206</v>
      </c>
      <c r="D20" s="88">
        <v>0.159</v>
      </c>
      <c r="E20" s="88">
        <v>0.16200000000000001</v>
      </c>
      <c r="F20" s="88">
        <v>0.16500000000000001</v>
      </c>
    </row>
    <row r="21" spans="1:6" ht="27.6" x14ac:dyDescent="0.35">
      <c r="A21" s="77"/>
      <c r="B21" s="72" t="s">
        <v>207</v>
      </c>
      <c r="C21" s="73" t="s">
        <v>208</v>
      </c>
      <c r="D21" s="88">
        <v>0.159</v>
      </c>
      <c r="E21" s="88">
        <v>0.16200000000000001</v>
      </c>
      <c r="F21" s="88">
        <v>0.16500000000000001</v>
      </c>
    </row>
    <row r="22" spans="1:6" ht="15" x14ac:dyDescent="0.35">
      <c r="A22" s="77"/>
      <c r="B22" s="72" t="s">
        <v>209</v>
      </c>
      <c r="C22" s="73" t="s">
        <v>210</v>
      </c>
      <c r="D22" s="88">
        <v>0.159</v>
      </c>
      <c r="E22" s="88">
        <v>0.16200000000000001</v>
      </c>
      <c r="F22" s="88">
        <v>0.16500000000000001</v>
      </c>
    </row>
    <row r="23" spans="1:6" ht="15" x14ac:dyDescent="0.35">
      <c r="A23" s="77"/>
      <c r="B23" s="72" t="s">
        <v>211</v>
      </c>
      <c r="C23" s="73" t="s">
        <v>212</v>
      </c>
      <c r="D23" s="88">
        <v>0.159</v>
      </c>
      <c r="E23" s="88">
        <v>0.16200000000000001</v>
      </c>
      <c r="F23" s="88">
        <v>0.16500000000000001</v>
      </c>
    </row>
    <row r="24" spans="1:6" ht="27.6" x14ac:dyDescent="0.35">
      <c r="A24" s="77"/>
      <c r="B24" s="72" t="s">
        <v>213</v>
      </c>
      <c r="C24" s="73" t="s">
        <v>214</v>
      </c>
      <c r="D24" s="88">
        <v>0.159</v>
      </c>
      <c r="E24" s="88">
        <v>0.16200000000000001</v>
      </c>
      <c r="F24" s="88">
        <v>0.16500000000000001</v>
      </c>
    </row>
    <row r="25" spans="1:6" ht="15" x14ac:dyDescent="0.35">
      <c r="A25" s="77"/>
      <c r="B25" s="72" t="s">
        <v>215</v>
      </c>
      <c r="C25" s="73" t="s">
        <v>216</v>
      </c>
      <c r="D25" s="88">
        <v>0.159</v>
      </c>
      <c r="E25" s="88">
        <v>0.16200000000000001</v>
      </c>
      <c r="F25" s="88">
        <v>0.16500000000000001</v>
      </c>
    </row>
    <row r="26" spans="1:6" ht="15.6" thickBot="1" x14ac:dyDescent="0.4">
      <c r="A26" s="78"/>
      <c r="B26" s="79" t="s">
        <v>217</v>
      </c>
      <c r="C26" s="80" t="s">
        <v>218</v>
      </c>
      <c r="D26" s="89">
        <v>0.159</v>
      </c>
      <c r="E26" s="89">
        <v>0.16200000000000001</v>
      </c>
      <c r="F26" s="89">
        <v>0.16500000000000001</v>
      </c>
    </row>
    <row r="27" spans="1:6" ht="14.4" x14ac:dyDescent="0.3">
      <c r="A27" s="81" t="s">
        <v>26</v>
      </c>
      <c r="B27" s="75" t="s">
        <v>219</v>
      </c>
      <c r="C27" s="76" t="s">
        <v>220</v>
      </c>
      <c r="D27" s="87">
        <v>4.0000000000000001E-3</v>
      </c>
      <c r="E27" s="87">
        <v>7.0000000000000001E-3</v>
      </c>
      <c r="F27" s="87">
        <v>0.115</v>
      </c>
    </row>
    <row r="28" spans="1:6" ht="27.6" x14ac:dyDescent="0.35">
      <c r="A28" s="77"/>
      <c r="B28" s="72" t="s">
        <v>221</v>
      </c>
      <c r="C28" s="73" t="s">
        <v>222</v>
      </c>
      <c r="D28" s="88">
        <v>4.0000000000000001E-3</v>
      </c>
      <c r="E28" s="88">
        <v>7.0000000000000001E-3</v>
      </c>
      <c r="F28" s="88">
        <v>0.115</v>
      </c>
    </row>
    <row r="29" spans="1:6" ht="15" x14ac:dyDescent="0.35">
      <c r="A29" s="77"/>
      <c r="B29" s="72" t="s">
        <v>223</v>
      </c>
      <c r="C29" s="73" t="s">
        <v>224</v>
      </c>
      <c r="D29" s="88">
        <v>4.0000000000000001E-3</v>
      </c>
      <c r="E29" s="88">
        <v>7.0000000000000001E-3</v>
      </c>
      <c r="F29" s="88">
        <v>0.115</v>
      </c>
    </row>
    <row r="30" spans="1:6" ht="15" x14ac:dyDescent="0.35">
      <c r="A30" s="77"/>
      <c r="B30" s="72" t="s">
        <v>225</v>
      </c>
      <c r="C30" s="73" t="s">
        <v>226</v>
      </c>
      <c r="D30" s="88">
        <v>4.0000000000000001E-3</v>
      </c>
      <c r="E30" s="88">
        <v>7.0000000000000001E-3</v>
      </c>
      <c r="F30" s="88">
        <v>0.115</v>
      </c>
    </row>
    <row r="31" spans="1:6" ht="15" x14ac:dyDescent="0.35">
      <c r="A31" s="77"/>
      <c r="B31" s="72" t="s">
        <v>227</v>
      </c>
      <c r="C31" s="73" t="s">
        <v>228</v>
      </c>
      <c r="D31" s="88">
        <v>4.0000000000000001E-3</v>
      </c>
      <c r="E31" s="88">
        <v>7.0000000000000001E-3</v>
      </c>
      <c r="F31" s="88">
        <v>0.115</v>
      </c>
    </row>
    <row r="32" spans="1:6" ht="28.2" thickBot="1" x14ac:dyDescent="0.4">
      <c r="A32" s="78"/>
      <c r="B32" s="79" t="s">
        <v>229</v>
      </c>
      <c r="C32" s="80" t="s">
        <v>230</v>
      </c>
      <c r="D32" s="89">
        <v>4.0000000000000001E-3</v>
      </c>
      <c r="E32" s="89">
        <v>7.0000000000000001E-3</v>
      </c>
      <c r="F32" s="89">
        <v>0.115</v>
      </c>
    </row>
    <row r="33" spans="1:6" x14ac:dyDescent="0.25">
      <c r="A33" s="74" t="s">
        <v>30</v>
      </c>
      <c r="B33" s="75" t="s">
        <v>231</v>
      </c>
      <c r="C33" s="76" t="s">
        <v>232</v>
      </c>
      <c r="D33" s="87">
        <v>0.113</v>
      </c>
      <c r="E33" s="87">
        <v>0.11600000000000001</v>
      </c>
      <c r="F33" s="87">
        <v>0.115</v>
      </c>
    </row>
    <row r="34" spans="1:6" ht="15" x14ac:dyDescent="0.35">
      <c r="A34" s="77"/>
      <c r="B34" s="72" t="s">
        <v>233</v>
      </c>
      <c r="C34" s="73" t="s">
        <v>234</v>
      </c>
      <c r="D34" s="88">
        <v>0.113</v>
      </c>
      <c r="E34" s="88">
        <v>0.11600000000000001</v>
      </c>
      <c r="F34" s="88">
        <v>0.115</v>
      </c>
    </row>
    <row r="35" spans="1:6" ht="15" x14ac:dyDescent="0.35">
      <c r="A35" s="77"/>
      <c r="B35" s="72" t="s">
        <v>235</v>
      </c>
      <c r="C35" s="73" t="s">
        <v>236</v>
      </c>
      <c r="D35" s="88">
        <v>0.113</v>
      </c>
      <c r="E35" s="88">
        <v>0.11600000000000001</v>
      </c>
      <c r="F35" s="88">
        <v>0.115</v>
      </c>
    </row>
    <row r="36" spans="1:6" ht="15.6" thickBot="1" x14ac:dyDescent="0.4">
      <c r="A36" s="78"/>
      <c r="B36" s="79" t="s">
        <v>237</v>
      </c>
      <c r="C36" s="80" t="s">
        <v>238</v>
      </c>
      <c r="D36" s="89">
        <v>0.113</v>
      </c>
      <c r="E36" s="89">
        <v>0.11600000000000001</v>
      </c>
      <c r="F36" s="89">
        <v>0.115</v>
      </c>
    </row>
    <row r="37" spans="1:6" ht="26.4" x14ac:dyDescent="0.25">
      <c r="A37" s="74" t="s">
        <v>239</v>
      </c>
      <c r="B37" s="75" t="s">
        <v>240</v>
      </c>
      <c r="C37" s="76" t="s">
        <v>241</v>
      </c>
      <c r="D37" s="87">
        <v>0.18</v>
      </c>
      <c r="E37" s="87">
        <v>0.18</v>
      </c>
      <c r="F37" s="87">
        <v>0.16500000000000001</v>
      </c>
    </row>
    <row r="38" spans="1:6" ht="28.2" thickBot="1" x14ac:dyDescent="0.4">
      <c r="A38" s="78"/>
      <c r="B38" s="79" t="s">
        <v>242</v>
      </c>
      <c r="C38" s="80" t="s">
        <v>243</v>
      </c>
      <c r="D38" s="89">
        <v>0.18</v>
      </c>
      <c r="E38" s="89">
        <v>0.18</v>
      </c>
      <c r="F38" s="89">
        <v>0.16500000000000001</v>
      </c>
    </row>
    <row r="39" spans="1:6" x14ac:dyDescent="0.25">
      <c r="A39" s="74" t="s">
        <v>244</v>
      </c>
      <c r="B39" s="75" t="s">
        <v>245</v>
      </c>
      <c r="C39" s="76" t="s">
        <v>246</v>
      </c>
      <c r="D39" s="87">
        <v>0.185</v>
      </c>
      <c r="E39" s="87">
        <v>0.185</v>
      </c>
      <c r="F39" s="87">
        <v>0.16500000000000001</v>
      </c>
    </row>
    <row r="40" spans="1:6" ht="15" x14ac:dyDescent="0.35">
      <c r="A40" s="77"/>
      <c r="B40" s="72" t="s">
        <v>247</v>
      </c>
      <c r="C40" s="73" t="s">
        <v>248</v>
      </c>
      <c r="D40" s="88">
        <v>0.185</v>
      </c>
      <c r="E40" s="88">
        <v>0.185</v>
      </c>
      <c r="F40" s="88">
        <v>0.16500000000000001</v>
      </c>
    </row>
    <row r="41" spans="1:6" ht="28.2" thickBot="1" x14ac:dyDescent="0.4">
      <c r="A41" s="78"/>
      <c r="B41" s="79" t="s">
        <v>249</v>
      </c>
      <c r="C41" s="80" t="s">
        <v>250</v>
      </c>
      <c r="D41" s="89">
        <v>0.185</v>
      </c>
      <c r="E41" s="89">
        <v>0.185</v>
      </c>
      <c r="F41" s="89">
        <v>0.16500000000000001</v>
      </c>
    </row>
    <row r="42" spans="1:6" ht="15" thickBot="1" x14ac:dyDescent="0.35">
      <c r="A42" s="82" t="s">
        <v>251</v>
      </c>
      <c r="B42" s="83" t="s">
        <v>252</v>
      </c>
      <c r="C42" s="84" t="s">
        <v>253</v>
      </c>
      <c r="D42" s="90">
        <v>0.14499999999999999</v>
      </c>
      <c r="E42" s="90">
        <v>0.14499999999999999</v>
      </c>
      <c r="F42" s="90">
        <v>0.16500000000000001</v>
      </c>
    </row>
    <row r="43" spans="1:6" ht="13.8" thickBot="1" x14ac:dyDescent="0.3">
      <c r="A43" s="85" t="s">
        <v>254</v>
      </c>
      <c r="B43" s="83" t="s">
        <v>255</v>
      </c>
      <c r="C43" s="84" t="s">
        <v>256</v>
      </c>
      <c r="D43" s="90">
        <v>0.19500000000000001</v>
      </c>
      <c r="E43" s="90">
        <v>0.19500000000000001</v>
      </c>
      <c r="F43" s="90">
        <v>0.16500000000000001</v>
      </c>
    </row>
    <row r="44" spans="1:6" ht="13.8" thickBot="1" x14ac:dyDescent="0.3">
      <c r="A44" s="85" t="s">
        <v>257</v>
      </c>
      <c r="B44" s="83" t="s">
        <v>258</v>
      </c>
      <c r="C44" s="84" t="s">
        <v>259</v>
      </c>
      <c r="D44" s="90">
        <v>0.23899999999999999</v>
      </c>
      <c r="E44" s="90">
        <v>0.23899999999999999</v>
      </c>
      <c r="F44" s="90">
        <v>0.16500000000000001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a0509d-f569-4dc7-9874-623a44436425">
      <UserInfo>
        <DisplayName/>
        <AccountId xsi:nil="true"/>
        <AccountType/>
      </UserInfo>
    </SharedWithUsers>
    <MediaLengthInSeconds xmlns="f4e69349-468d-450d-a17f-15f564edf12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014075D1DA244930E5B7E5AF8C775" ma:contentTypeVersion="12" ma:contentTypeDescription="Create a new document." ma:contentTypeScope="" ma:versionID="c9e06435305ede9cb612dbbd9f7e26fc">
  <xsd:schema xmlns:xsd="http://www.w3.org/2001/XMLSchema" xmlns:xs="http://www.w3.org/2001/XMLSchema" xmlns:p="http://schemas.microsoft.com/office/2006/metadata/properties" xmlns:ns2="f4e69349-468d-450d-a17f-15f564edf12b" xmlns:ns3="14a0509d-f569-4dc7-9874-623a44436425" targetNamespace="http://schemas.microsoft.com/office/2006/metadata/properties" ma:root="true" ma:fieldsID="51d46dfbaad7c09ff4a823f40bab1734" ns2:_="" ns3:_="">
    <xsd:import namespace="f4e69349-468d-450d-a17f-15f564edf12b"/>
    <xsd:import namespace="14a0509d-f569-4dc7-9874-623a444364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69349-468d-450d-a17f-15f564edf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0509d-f569-4dc7-9874-623a444364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0780EE-DACE-401C-8B8F-6CEF55369789}">
  <ds:schemaRefs>
    <ds:schemaRef ds:uri="http://schemas.microsoft.com/office/2006/metadata/properties"/>
    <ds:schemaRef ds:uri="http://schemas.microsoft.com/office/infopath/2007/PartnerControls"/>
    <ds:schemaRef ds:uri="14a0509d-f569-4dc7-9874-623a44436425"/>
    <ds:schemaRef ds:uri="f4e69349-468d-450d-a17f-15f564edf12b"/>
  </ds:schemaRefs>
</ds:datastoreItem>
</file>

<file path=customXml/itemProps2.xml><?xml version="1.0" encoding="utf-8"?>
<ds:datastoreItem xmlns:ds="http://schemas.openxmlformats.org/officeDocument/2006/customXml" ds:itemID="{07D23DE7-2E2B-4684-92E6-224404948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69349-468d-450d-a17f-15f564edf12b"/>
    <ds:schemaRef ds:uri="14a0509d-f569-4dc7-9874-623a444364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440C95-F31C-4B22-8E3E-39BB105F2F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Rate Summary</vt:lpstr>
      <vt:lpstr>Components UNIV HS &amp; FGP</vt:lpstr>
      <vt:lpstr>Distribution Univ HS &amp; FGP</vt:lpstr>
      <vt:lpstr>Components OSP</vt:lpstr>
      <vt:lpstr>Distribution OSP</vt:lpstr>
      <vt:lpstr>fy22_summary_bnft_projection</vt:lpstr>
      <vt:lpstr>Rate by Spend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Gast, Kenneth C.</dc:creator>
  <cp:lastModifiedBy>Gast, Kenneth C.</cp:lastModifiedBy>
  <dcterms:created xsi:type="dcterms:W3CDTF">2021-06-15T18:43:33Z</dcterms:created>
  <dcterms:modified xsi:type="dcterms:W3CDTF">2021-10-11T14:24:30Z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413000</vt:r8>
  </property>
  <property fmtid="{D5CDD505-2E9C-101B-9397-08002B2CF9AE}" pid="3" name="ContentTypeId">
    <vt:lpwstr>0x010100127014075D1DA244930E5B7E5AF8C775</vt:lpwstr>
  </property>
  <property fmtid="{D5CDD505-2E9C-101B-9397-08002B2CF9AE}" pid="4" name="ComplianceAssetId">
    <vt:lpwstr/>
  </property>
  <property fmtid="{D5CDD505-2E9C-101B-9397-08002B2CF9AE}" pid="5" name="_ExtendedDescription">
    <vt:lpwstr/>
  </property>
</Properties>
</file>